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ccbruins-my.sharepoint.com/personal/sbrow212_slcc_edu/Documents/Documents/2025 Legislative Session/"/>
    </mc:Choice>
  </mc:AlternateContent>
  <xr:revisionPtr revIDLastSave="0" documentId="8_{BC3F6449-C13F-40BC-A99F-973DD6DFE15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USHE" sheetId="73" state="hidden" r:id="rId1"/>
    <sheet name="USHE-Governor-HEAS" sheetId="72" state="hidden" r:id="rId2"/>
    <sheet name="USHE-GOV" sheetId="94" r:id="rId3"/>
    <sheet name="Summary" sheetId="29" state="hidden" r:id="rId4"/>
    <sheet name="Historical" sheetId="58" state="hidden" r:id="rId5"/>
    <sheet name="UU" sheetId="76" state="hidden" r:id="rId6"/>
    <sheet name="USU" sheetId="77" state="hidden" r:id="rId7"/>
    <sheet name="WSU" sheetId="78" state="hidden" r:id="rId8"/>
    <sheet name="SUU" sheetId="79" state="hidden" r:id="rId9"/>
    <sheet name="SC" sheetId="80" state="hidden" r:id="rId10"/>
    <sheet name="UT" sheetId="81" state="hidden" r:id="rId11"/>
    <sheet name="UVU" sheetId="82" state="hidden" r:id="rId12"/>
    <sheet name="SLCC" sheetId="83" state="hidden" r:id="rId13"/>
    <sheet name="BTC" sheetId="84" state="hidden" r:id="rId14"/>
    <sheet name="DTC" sheetId="95" state="hidden" r:id="rId15"/>
    <sheet name="DXTC" sheetId="96" state="hidden" r:id="rId16"/>
    <sheet name="MTC" sheetId="97" state="hidden" r:id="rId17"/>
    <sheet name="OWTC" sheetId="98" state="hidden" r:id="rId18"/>
    <sheet name="SWTC" sheetId="99" state="hidden" r:id="rId19"/>
    <sheet name="TTC" sheetId="100" state="hidden" r:id="rId20"/>
    <sheet name="UBTC" sheetId="101" state="hidden" r:id="rId21"/>
    <sheet name="UBHE" sheetId="92" state="hidden" r:id="rId22"/>
  </sheets>
  <definedNames>
    <definedName name="_xlnm.Print_Area" localSheetId="13">BTC!$A$1:$G$37</definedName>
    <definedName name="_xlnm.Print_Area" localSheetId="14">DTC!$A$1:$G$40</definedName>
    <definedName name="_xlnm.Print_Area" localSheetId="15">DXTC!$A$1:$G$40</definedName>
    <definedName name="_xlnm.Print_Area" localSheetId="4">Historical!$A$1:$K$192</definedName>
    <definedName name="_xlnm.Print_Area" localSheetId="16">MTC!$A$1:$F$39</definedName>
    <definedName name="_xlnm.Print_Area" localSheetId="17">OWTC!$A$1:$G$38</definedName>
    <definedName name="_xlnm.Print_Area" localSheetId="9">SC!$A$1:$G$44</definedName>
    <definedName name="_xlnm.Print_Area" localSheetId="12">SLCC!$A$1:$G$44</definedName>
    <definedName name="_xlnm.Print_Area" localSheetId="3">Summary!$A$1:$AL$29</definedName>
    <definedName name="_xlnm.Print_Area" localSheetId="8">SUU!$A$1:$F$45</definedName>
    <definedName name="_xlnm.Print_Area" localSheetId="18">SWTC!$A$1:$G$37</definedName>
    <definedName name="_xlnm.Print_Area" localSheetId="19">TTC!$A$1:$F$37</definedName>
    <definedName name="_xlnm.Print_Area" localSheetId="21">UBHE!$A$1:$G$53</definedName>
    <definedName name="_xlnm.Print_Area" localSheetId="20">UBTC!$A$1:$G$36</definedName>
    <definedName name="_xlnm.Print_Area" localSheetId="0">USHE!$A$1:$S$48</definedName>
    <definedName name="_xlnm.Print_Area" localSheetId="2">'USHE-GOV'!$A$1:$N$63</definedName>
    <definedName name="_xlnm.Print_Area" localSheetId="1">'USHE-Governor-HEAS'!$A$1:$T$97</definedName>
    <definedName name="_xlnm.Print_Area" localSheetId="6">USU!$A$1:$G$47</definedName>
    <definedName name="_xlnm.Print_Area" localSheetId="10">UT!$A$1:$F$40</definedName>
    <definedName name="_xlnm.Print_Area" localSheetId="5">UU!$A$1:$F$43</definedName>
    <definedName name="_xlnm.Print_Area" localSheetId="11">UVU!$A$1:$G$42</definedName>
    <definedName name="_xlnm.Print_Area" localSheetId="7">WSU!$A$1:$G$40</definedName>
    <definedName name="_xlnm.Print_Titles" localSheetId="13">BTC!$1:$6</definedName>
    <definedName name="_xlnm.Print_Titles" localSheetId="14">DTC!$1:$6</definedName>
    <definedName name="_xlnm.Print_Titles" localSheetId="15">DXTC!$1:$6</definedName>
    <definedName name="_xlnm.Print_Titles" localSheetId="16">MTC!$1:$6</definedName>
    <definedName name="_xlnm.Print_Titles" localSheetId="17">OWTC!$1:$6</definedName>
    <definedName name="_xlnm.Print_Titles" localSheetId="9">SC!$1:$6</definedName>
    <definedName name="_xlnm.Print_Titles" localSheetId="12">SLCC!$1:$6</definedName>
    <definedName name="_xlnm.Print_Titles" localSheetId="8">SUU!$1:$6</definedName>
    <definedName name="_xlnm.Print_Titles" localSheetId="18">SWTC!$1:$6</definedName>
    <definedName name="_xlnm.Print_Titles" localSheetId="19">TTC!$1:$6</definedName>
    <definedName name="_xlnm.Print_Titles" localSheetId="21">UBHE!$1:$6</definedName>
    <definedName name="_xlnm.Print_Titles" localSheetId="20">UBTC!$1:$6</definedName>
    <definedName name="_xlnm.Print_Titles" localSheetId="2">'USHE-GOV'!$1:$6</definedName>
    <definedName name="_xlnm.Print_Titles" localSheetId="1">'USHE-Governor-HEAS'!$1:$6</definedName>
    <definedName name="_xlnm.Print_Titles" localSheetId="6">USU!$1:$6</definedName>
    <definedName name="_xlnm.Print_Titles" localSheetId="10">UT!$1:$6</definedName>
    <definedName name="_xlnm.Print_Titles" localSheetId="5">UU!$1:$6</definedName>
    <definedName name="_xlnm.Print_Titles" localSheetId="11">UVU!$1:$6</definedName>
    <definedName name="_xlnm.Print_Titles" localSheetId="7">WSU!$1:$6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94" l="1"/>
  <c r="M38" i="94"/>
  <c r="M39" i="94"/>
  <c r="M40" i="94"/>
  <c r="M41" i="94"/>
  <c r="M42" i="94"/>
  <c r="M43" i="94"/>
  <c r="M44" i="94"/>
  <c r="M45" i="94"/>
  <c r="M46" i="94"/>
  <c r="J18" i="94"/>
  <c r="M22" i="94"/>
  <c r="M14" i="94"/>
  <c r="M17" i="94"/>
  <c r="G11" i="94"/>
  <c r="M11" i="94" s="1"/>
  <c r="G13" i="94"/>
  <c r="G19" i="94"/>
  <c r="G18" i="94" s="1"/>
  <c r="G21" i="94"/>
  <c r="G16" i="94"/>
  <c r="M19" i="94" l="1"/>
  <c r="F12" i="92"/>
  <c r="F16" i="98"/>
  <c r="F19" i="79"/>
  <c r="G10" i="94" l="1"/>
  <c r="G12" i="94"/>
  <c r="M54" i="94"/>
  <c r="F15" i="83"/>
  <c r="F12" i="83"/>
  <c r="F12" i="80"/>
  <c r="F15" i="80"/>
  <c r="F15" i="77"/>
  <c r="F33" i="95" l="1"/>
  <c r="J57" i="94"/>
  <c r="J25" i="94"/>
  <c r="J9" i="94"/>
  <c r="G9" i="94"/>
  <c r="M20" i="94" l="1"/>
  <c r="M16" i="94"/>
  <c r="M21" i="94"/>
  <c r="M18" i="94" l="1"/>
  <c r="F37" i="77"/>
  <c r="F33" i="76"/>
  <c r="F36" i="76" s="1"/>
  <c r="M12" i="94"/>
  <c r="M10" i="94"/>
  <c r="J23" i="94" l="1"/>
  <c r="J49" i="94" s="1"/>
  <c r="F12" i="100"/>
  <c r="F12" i="99"/>
  <c r="F12" i="98"/>
  <c r="F12" i="96"/>
  <c r="F12" i="95"/>
  <c r="F37" i="83"/>
  <c r="F14" i="83"/>
  <c r="F35" i="82"/>
  <c r="F12" i="82"/>
  <c r="F12" i="81"/>
  <c r="F14" i="80"/>
  <c r="F12" i="78"/>
  <c r="F14" i="77"/>
  <c r="F12" i="76"/>
  <c r="F37" i="80"/>
  <c r="F12" i="79"/>
  <c r="F46" i="92"/>
  <c r="F31" i="98"/>
  <c r="F33" i="96"/>
  <c r="J61" i="94" l="1"/>
  <c r="F29" i="101"/>
  <c r="F30" i="100"/>
  <c r="F30" i="99"/>
  <c r="F30" i="84"/>
  <c r="F40" i="77"/>
  <c r="F29" i="78"/>
  <c r="F33" i="78" s="1"/>
  <c r="F29" i="97"/>
  <c r="F32" i="97" s="1"/>
  <c r="F20" i="80"/>
  <c r="F19" i="80" s="1"/>
  <c r="F18" i="77"/>
  <c r="F17" i="77" s="1"/>
  <c r="F21" i="83"/>
  <c r="F18" i="82"/>
  <c r="F16" i="81"/>
  <c r="F21" i="79"/>
  <c r="F16" i="78"/>
  <c r="F16" i="76"/>
  <c r="F20" i="92"/>
  <c r="F12" i="101"/>
  <c r="F12" i="97"/>
  <c r="F9" i="97"/>
  <c r="F9" i="98"/>
  <c r="F9" i="99"/>
  <c r="F9" i="100"/>
  <c r="F9" i="101"/>
  <c r="F9" i="96"/>
  <c r="F9" i="95"/>
  <c r="F9" i="84"/>
  <c r="F12" i="84"/>
  <c r="F15" i="84"/>
  <c r="F9" i="77"/>
  <c r="F9" i="78"/>
  <c r="F9" i="79"/>
  <c r="F9" i="80"/>
  <c r="F9" i="81"/>
  <c r="F9" i="82"/>
  <c r="F9" i="83"/>
  <c r="F9" i="92"/>
  <c r="F9" i="76"/>
  <c r="M26" i="94"/>
  <c r="M24" i="94"/>
  <c r="M15" i="94"/>
  <c r="F28" i="92" l="1"/>
  <c r="F20" i="84"/>
  <c r="G25" i="94" l="1"/>
  <c r="M25" i="94" s="1"/>
  <c r="G23" i="94"/>
  <c r="G49" i="94" l="1"/>
  <c r="G50" i="94" s="1"/>
  <c r="M23" i="94"/>
  <c r="G57" i="94"/>
  <c r="G61" i="94" l="1"/>
  <c r="W26" i="29"/>
  <c r="Z24" i="29"/>
  <c r="T24" i="29"/>
  <c r="L24" i="29"/>
  <c r="E24" i="29"/>
  <c r="H24" i="29" s="1"/>
  <c r="Z23" i="29"/>
  <c r="T23" i="29"/>
  <c r="L23" i="29"/>
  <c r="E23" i="29"/>
  <c r="H23" i="29" s="1"/>
  <c r="Z22" i="29"/>
  <c r="T22" i="29"/>
  <c r="U22" i="29" s="1"/>
  <c r="L22" i="29"/>
  <c r="E22" i="29"/>
  <c r="H22" i="29" s="1"/>
  <c r="T21" i="29"/>
  <c r="L21" i="29"/>
  <c r="E21" i="29"/>
  <c r="H21" i="29" s="1"/>
  <c r="T20" i="29"/>
  <c r="L20" i="29"/>
  <c r="E20" i="29"/>
  <c r="H20" i="29" s="1"/>
  <c r="Z19" i="29"/>
  <c r="T19" i="29"/>
  <c r="L19" i="29"/>
  <c r="E19" i="29"/>
  <c r="H19" i="29" s="1"/>
  <c r="Z18" i="29"/>
  <c r="Y18" i="29"/>
  <c r="T18" i="29"/>
  <c r="L18" i="29"/>
  <c r="E18" i="29"/>
  <c r="H18" i="29" s="1"/>
  <c r="AE17" i="29"/>
  <c r="Z17" i="29"/>
  <c r="T17" i="29"/>
  <c r="J17" i="29"/>
  <c r="L17" i="29" s="1"/>
  <c r="E17" i="29"/>
  <c r="H17" i="29" s="1"/>
  <c r="T16" i="29"/>
  <c r="L16" i="29"/>
  <c r="M16" i="29" s="1"/>
  <c r="E16" i="29"/>
  <c r="H16" i="29" s="1"/>
  <c r="U20" i="29" l="1"/>
  <c r="U21" i="29"/>
  <c r="M18" i="29"/>
  <c r="M22" i="29"/>
  <c r="M19" i="29"/>
  <c r="M21" i="29"/>
  <c r="U19" i="29"/>
  <c r="M23" i="29"/>
  <c r="U23" i="29"/>
  <c r="U24" i="29"/>
  <c r="U18" i="29"/>
  <c r="M20" i="29"/>
  <c r="M24" i="29"/>
  <c r="U17" i="29"/>
  <c r="U16" i="29"/>
  <c r="M17" i="29"/>
  <c r="I187" i="58" l="1"/>
  <c r="E187" i="58"/>
  <c r="I186" i="58"/>
  <c r="E186" i="58"/>
  <c r="I185" i="58"/>
  <c r="E185" i="58"/>
  <c r="I182" i="58"/>
  <c r="E182" i="58"/>
  <c r="I181" i="58"/>
  <c r="E181" i="58"/>
  <c r="I180" i="58"/>
  <c r="E180" i="58"/>
  <c r="I177" i="58"/>
  <c r="E177" i="58"/>
  <c r="I176" i="58"/>
  <c r="E176" i="58"/>
  <c r="I175" i="58"/>
  <c r="E175" i="58"/>
  <c r="F16" i="99" l="1"/>
  <c r="F21" i="99" s="1"/>
  <c r="F21" i="98"/>
  <c r="AF12" i="29" l="1"/>
  <c r="M13" i="94" l="1"/>
  <c r="AF15" i="29"/>
  <c r="AF14" i="29"/>
  <c r="AF24" i="29" l="1"/>
  <c r="AF23" i="29"/>
  <c r="F15" i="100"/>
  <c r="F20" i="100" s="1"/>
  <c r="AF21" i="29"/>
  <c r="AF20" i="29"/>
  <c r="F16" i="97"/>
  <c r="F22" i="97" s="1"/>
  <c r="F36" i="97" s="1"/>
  <c r="AF18" i="29"/>
  <c r="F16" i="96"/>
  <c r="F21" i="96" s="1"/>
  <c r="F37" i="96" s="1"/>
  <c r="AG23" i="29" l="1"/>
  <c r="AG21" i="29"/>
  <c r="AG20" i="29"/>
  <c r="AG18" i="29"/>
  <c r="AG24" i="29"/>
  <c r="F16" i="95"/>
  <c r="F22" i="95" s="1"/>
  <c r="F30" i="101"/>
  <c r="F16" i="101"/>
  <c r="F20" i="101" s="1"/>
  <c r="F1" i="101"/>
  <c r="F1" i="100"/>
  <c r="F31" i="99"/>
  <c r="F1" i="99"/>
  <c r="F32" i="98"/>
  <c r="F1" i="98"/>
  <c r="F1" i="97"/>
  <c r="F34" i="96"/>
  <c r="F1" i="96"/>
  <c r="F1" i="95"/>
  <c r="AF16" i="29"/>
  <c r="F17" i="80"/>
  <c r="F25" i="80" s="1"/>
  <c r="F31" i="100" l="1"/>
  <c r="AF22" i="29"/>
  <c r="F33" i="97"/>
  <c r="AF19" i="29"/>
  <c r="F34" i="95"/>
  <c r="AF17" i="29"/>
  <c r="AG16" i="29"/>
  <c r="AB18" i="29"/>
  <c r="F38" i="79"/>
  <c r="AF11" i="29" s="1"/>
  <c r="F21" i="101" l="1"/>
  <c r="AB23" i="29"/>
  <c r="AG22" i="29"/>
  <c r="F21" i="100"/>
  <c r="AB22" i="29"/>
  <c r="AC22" i="29" s="1"/>
  <c r="F34" i="99"/>
  <c r="F35" i="99" s="1"/>
  <c r="AB21" i="29"/>
  <c r="F22" i="98"/>
  <c r="AB20" i="29"/>
  <c r="AG19" i="29"/>
  <c r="F23" i="97"/>
  <c r="AB19" i="29"/>
  <c r="AC19" i="29" s="1"/>
  <c r="AC18" i="29"/>
  <c r="AI18" i="29"/>
  <c r="F37" i="95"/>
  <c r="F38" i="95" s="1"/>
  <c r="AB17" i="29"/>
  <c r="AC17" i="29" s="1"/>
  <c r="AG17" i="29"/>
  <c r="F22" i="99"/>
  <c r="F33" i="101"/>
  <c r="F34" i="101" s="1"/>
  <c r="F34" i="100"/>
  <c r="F35" i="100" s="1"/>
  <c r="F35" i="98"/>
  <c r="F36" i="98" s="1"/>
  <c r="F37" i="97"/>
  <c r="F38" i="96"/>
  <c r="F22" i="96"/>
  <c r="F23" i="95"/>
  <c r="AF10" i="29"/>
  <c r="AI17" i="29" l="1"/>
  <c r="AJ17" i="29" s="1"/>
  <c r="AC23" i="29"/>
  <c r="AI23" i="29"/>
  <c r="AI22" i="29"/>
  <c r="AC21" i="29"/>
  <c r="AI21" i="29"/>
  <c r="AC20" i="29"/>
  <c r="AI20" i="29"/>
  <c r="AI19" i="29"/>
  <c r="AJ18" i="29"/>
  <c r="AL18" i="29"/>
  <c r="F12" i="77"/>
  <c r="AL17" i="29" l="1"/>
  <c r="AJ23" i="29"/>
  <c r="AL23" i="29"/>
  <c r="AJ22" i="29"/>
  <c r="AL22" i="29"/>
  <c r="AL21" i="29"/>
  <c r="AJ21" i="29"/>
  <c r="AL20" i="29"/>
  <c r="AJ20" i="29"/>
  <c r="AJ19" i="29"/>
  <c r="AL19" i="29"/>
  <c r="F17" i="83"/>
  <c r="F1" i="78" l="1"/>
  <c r="F1" i="79"/>
  <c r="F1" i="80"/>
  <c r="F1" i="81"/>
  <c r="F1" i="82"/>
  <c r="F1" i="83"/>
  <c r="F1" i="84"/>
  <c r="F1" i="92"/>
  <c r="F1" i="77"/>
  <c r="F1" i="76"/>
  <c r="S31" i="72" l="1"/>
  <c r="Q31" i="72"/>
  <c r="L31" i="72"/>
  <c r="S79" i="72"/>
  <c r="Q79" i="72"/>
  <c r="L79" i="72"/>
  <c r="S80" i="72"/>
  <c r="Q80" i="72"/>
  <c r="L80" i="72"/>
  <c r="S78" i="72"/>
  <c r="Q78" i="72"/>
  <c r="L78" i="72"/>
  <c r="S81" i="72"/>
  <c r="Q81" i="72"/>
  <c r="L81" i="72"/>
  <c r="S77" i="72"/>
  <c r="Q77" i="72"/>
  <c r="L77" i="72"/>
  <c r="S83" i="72"/>
  <c r="Q83" i="72"/>
  <c r="L83" i="72"/>
  <c r="S82" i="72"/>
  <c r="Q82" i="72"/>
  <c r="L82" i="72"/>
  <c r="S85" i="72"/>
  <c r="Q85" i="72"/>
  <c r="L85" i="72"/>
  <c r="S84" i="72"/>
  <c r="Q84" i="72"/>
  <c r="L84" i="72"/>
  <c r="J28" i="72"/>
  <c r="Q28" i="72" s="1"/>
  <c r="L28" i="72"/>
  <c r="J9" i="72"/>
  <c r="L9" i="72" s="1"/>
  <c r="G9" i="72"/>
  <c r="S11" i="72"/>
  <c r="Q11" i="72"/>
  <c r="L11" i="72"/>
  <c r="S28" i="72"/>
  <c r="O23" i="72"/>
  <c r="J23" i="72"/>
  <c r="G23" i="72"/>
  <c r="S25" i="72"/>
  <c r="Q25" i="72"/>
  <c r="L25" i="72"/>
  <c r="S16" i="72"/>
  <c r="Q16" i="72"/>
  <c r="L16" i="72"/>
  <c r="J13" i="72"/>
  <c r="J18" i="72"/>
  <c r="S45" i="72"/>
  <c r="Q45" i="72"/>
  <c r="L45" i="72"/>
  <c r="S51" i="72"/>
  <c r="Q51" i="72"/>
  <c r="L51" i="72"/>
  <c r="F47" i="92"/>
  <c r="F31" i="84"/>
  <c r="F38" i="83"/>
  <c r="F20" i="83"/>
  <c r="F26" i="83" s="1"/>
  <c r="F36" i="82"/>
  <c r="F15" i="82"/>
  <c r="F21" i="82" s="1"/>
  <c r="F33" i="81"/>
  <c r="F15" i="81"/>
  <c r="F22" i="81" s="1"/>
  <c r="F38" i="80"/>
  <c r="AB12" i="29"/>
  <c r="AI12" i="29" s="1"/>
  <c r="AJ12" i="29" s="1"/>
  <c r="F39" i="79"/>
  <c r="F34" i="78"/>
  <c r="F15" i="78"/>
  <c r="F15" i="76"/>
  <c r="F24" i="76" s="1"/>
  <c r="F40" i="76" s="1"/>
  <c r="S49" i="72"/>
  <c r="Q49" i="72"/>
  <c r="L49" i="72"/>
  <c r="S52" i="72"/>
  <c r="Q52" i="72"/>
  <c r="L52" i="72"/>
  <c r="S41" i="72"/>
  <c r="Q41" i="72"/>
  <c r="L41" i="72"/>
  <c r="S50" i="72"/>
  <c r="Q50" i="72"/>
  <c r="L50" i="72"/>
  <c r="S73" i="72"/>
  <c r="Q73" i="72"/>
  <c r="L73" i="72"/>
  <c r="S86" i="72"/>
  <c r="Q86" i="72"/>
  <c r="L86" i="72"/>
  <c r="S76" i="72"/>
  <c r="Q76" i="72"/>
  <c r="L76" i="72"/>
  <c r="S69" i="72"/>
  <c r="Q69" i="72"/>
  <c r="L69" i="72"/>
  <c r="S66" i="72"/>
  <c r="Q66" i="72"/>
  <c r="L66" i="72"/>
  <c r="S70" i="72"/>
  <c r="Q70" i="72"/>
  <c r="L70" i="72"/>
  <c r="S68" i="72"/>
  <c r="Q68" i="72"/>
  <c r="L68" i="72"/>
  <c r="S47" i="72"/>
  <c r="Q47" i="72"/>
  <c r="L47" i="72"/>
  <c r="S40" i="72"/>
  <c r="Q40" i="72"/>
  <c r="L40" i="72"/>
  <c r="S39" i="72"/>
  <c r="Q39" i="72"/>
  <c r="L39" i="72"/>
  <c r="S35" i="72"/>
  <c r="Q35" i="72"/>
  <c r="L35" i="72"/>
  <c r="S44" i="72"/>
  <c r="Q44" i="72"/>
  <c r="L44" i="72"/>
  <c r="S74" i="72"/>
  <c r="Q74" i="72"/>
  <c r="L74" i="72"/>
  <c r="S75" i="72"/>
  <c r="Q75" i="72"/>
  <c r="L75" i="72"/>
  <c r="S38" i="72"/>
  <c r="Q38" i="72"/>
  <c r="L38" i="72"/>
  <c r="O90" i="72"/>
  <c r="L64" i="72"/>
  <c r="Q64" i="72"/>
  <c r="L72" i="72"/>
  <c r="Q72" i="72"/>
  <c r="L71" i="72"/>
  <c r="Q71" i="72"/>
  <c r="L65" i="72"/>
  <c r="Q65" i="72"/>
  <c r="L67" i="72"/>
  <c r="Q67" i="72"/>
  <c r="L87" i="72"/>
  <c r="Q87" i="72"/>
  <c r="S64" i="72"/>
  <c r="S72" i="72"/>
  <c r="S71" i="72"/>
  <c r="S65" i="72"/>
  <c r="S67" i="72"/>
  <c r="S87" i="72"/>
  <c r="L43" i="72"/>
  <c r="L46" i="72"/>
  <c r="L42" i="72"/>
  <c r="L48" i="72"/>
  <c r="L37" i="72"/>
  <c r="L36" i="72"/>
  <c r="L33" i="72"/>
  <c r="L32" i="72"/>
  <c r="L34" i="72"/>
  <c r="Q43" i="72"/>
  <c r="Q46" i="72"/>
  <c r="Q42" i="72"/>
  <c r="Q48" i="72"/>
  <c r="Q37" i="72"/>
  <c r="Q36" i="72"/>
  <c r="Q33" i="72"/>
  <c r="Q32" i="72"/>
  <c r="Q34" i="72"/>
  <c r="Q14" i="72"/>
  <c r="O26" i="72"/>
  <c r="O55" i="72" s="1"/>
  <c r="O18" i="72"/>
  <c r="O13" i="72"/>
  <c r="L14" i="72"/>
  <c r="S43" i="72"/>
  <c r="S46" i="72"/>
  <c r="S42" i="72"/>
  <c r="S48" i="72"/>
  <c r="S37" i="72"/>
  <c r="S36" i="72"/>
  <c r="S33" i="72"/>
  <c r="S32" i="72"/>
  <c r="S34" i="72"/>
  <c r="S63" i="72"/>
  <c r="Q63" i="72"/>
  <c r="L63" i="72"/>
  <c r="L27" i="72"/>
  <c r="G26" i="72"/>
  <c r="S29" i="72"/>
  <c r="Q29" i="72"/>
  <c r="G90" i="72"/>
  <c r="Q23" i="72"/>
  <c r="S30" i="72"/>
  <c r="Q30" i="72"/>
  <c r="S27" i="72"/>
  <c r="Q27" i="72"/>
  <c r="L29" i="72"/>
  <c r="S24" i="72"/>
  <c r="Q24" i="72"/>
  <c r="L24" i="72"/>
  <c r="L30" i="72"/>
  <c r="J90" i="72"/>
  <c r="S62" i="72"/>
  <c r="Q62" i="72"/>
  <c r="L60" i="72"/>
  <c r="S21" i="72"/>
  <c r="Q21" i="72"/>
  <c r="L21" i="72"/>
  <c r="S22" i="72"/>
  <c r="Q22" i="72"/>
  <c r="L22" i="72"/>
  <c r="S20" i="72"/>
  <c r="Q20" i="72"/>
  <c r="L20" i="72"/>
  <c r="S19" i="72"/>
  <c r="Q19" i="72"/>
  <c r="L19" i="72"/>
  <c r="G18" i="72"/>
  <c r="S18" i="72" s="1"/>
  <c r="G13" i="72"/>
  <c r="S13" i="72" s="1"/>
  <c r="S17" i="72"/>
  <c r="Q17" i="72"/>
  <c r="L17" i="72"/>
  <c r="S15" i="72"/>
  <c r="Q15" i="72"/>
  <c r="L15" i="72"/>
  <c r="S14" i="72"/>
  <c r="S23" i="72"/>
  <c r="Q18" i="72"/>
  <c r="L23" i="72"/>
  <c r="K1" i="58"/>
  <c r="P48" i="73"/>
  <c r="G48" i="73"/>
  <c r="M11" i="73"/>
  <c r="M13" i="73" s="1"/>
  <c r="S61" i="72"/>
  <c r="L62" i="72"/>
  <c r="Q61" i="72"/>
  <c r="L61" i="72"/>
  <c r="O91" i="72"/>
  <c r="S60" i="72"/>
  <c r="Q60" i="72"/>
  <c r="Q13" i="72"/>
  <c r="S12" i="72"/>
  <c r="Q12" i="72"/>
  <c r="L12" i="72"/>
  <c r="S10" i="72"/>
  <c r="Q10" i="72"/>
  <c r="L10" i="72"/>
  <c r="S9" i="72"/>
  <c r="E170" i="58"/>
  <c r="C167" i="58"/>
  <c r="E167" i="58" s="1"/>
  <c r="C166" i="58"/>
  <c r="E166" i="58" s="1"/>
  <c r="C165" i="58"/>
  <c r="E165" i="58" s="1"/>
  <c r="E172" i="58"/>
  <c r="I172" i="58"/>
  <c r="I170" i="58"/>
  <c r="I167" i="58"/>
  <c r="I171" i="58"/>
  <c r="E171" i="58"/>
  <c r="I166" i="58"/>
  <c r="I165" i="58"/>
  <c r="C162" i="58"/>
  <c r="E162" i="58" s="1"/>
  <c r="I162" i="58"/>
  <c r="C161" i="58"/>
  <c r="E161" i="58" s="1"/>
  <c r="I161" i="58"/>
  <c r="G211" i="58"/>
  <c r="I157" i="58" s="1"/>
  <c r="C211" i="58"/>
  <c r="G210" i="58"/>
  <c r="I150" i="58"/>
  <c r="C210" i="58"/>
  <c r="E152" i="58" s="1"/>
  <c r="G209" i="58"/>
  <c r="I146" i="58" s="1"/>
  <c r="C209" i="58"/>
  <c r="G208" i="58"/>
  <c r="I140" i="58"/>
  <c r="C208" i="58"/>
  <c r="G198" i="58"/>
  <c r="I92" i="58" s="1"/>
  <c r="G196" i="58"/>
  <c r="C196" i="58"/>
  <c r="I160" i="58"/>
  <c r="C160" i="58"/>
  <c r="E160" i="58" s="1"/>
  <c r="C156" i="58"/>
  <c r="C155" i="58"/>
  <c r="C152" i="58"/>
  <c r="I151" i="58"/>
  <c r="C151" i="58"/>
  <c r="E151" i="58" s="1"/>
  <c r="C150" i="58"/>
  <c r="E150" i="58" s="1"/>
  <c r="C147" i="58"/>
  <c r="E147" i="58" s="1"/>
  <c r="C146" i="58"/>
  <c r="C145" i="58"/>
  <c r="K142" i="58"/>
  <c r="I142" i="58"/>
  <c r="C142" i="58"/>
  <c r="E142" i="58" s="1"/>
  <c r="C141" i="58"/>
  <c r="E141" i="58" s="1"/>
  <c r="C140" i="58"/>
  <c r="I137" i="58"/>
  <c r="C137" i="58"/>
  <c r="E137" i="58" s="1"/>
  <c r="I136" i="58"/>
  <c r="C136" i="58"/>
  <c r="E136" i="58" s="1"/>
  <c r="I135" i="58"/>
  <c r="C135" i="58"/>
  <c r="E135" i="58" s="1"/>
  <c r="I132" i="58"/>
  <c r="C132" i="58"/>
  <c r="E132" i="58" s="1"/>
  <c r="I131" i="58"/>
  <c r="C131" i="58"/>
  <c r="E131" i="58" s="1"/>
  <c r="I130" i="58"/>
  <c r="C130" i="58"/>
  <c r="E130" i="58" s="1"/>
  <c r="I127" i="58"/>
  <c r="C127" i="58"/>
  <c r="E127" i="58" s="1"/>
  <c r="I126" i="58"/>
  <c r="C126" i="58"/>
  <c r="E126" i="58" s="1"/>
  <c r="I125" i="58"/>
  <c r="C125" i="58"/>
  <c r="E125" i="58" s="1"/>
  <c r="I122" i="58"/>
  <c r="C122" i="58"/>
  <c r="E122" i="58" s="1"/>
  <c r="I121" i="58"/>
  <c r="C121" i="58"/>
  <c r="E121" i="58" s="1"/>
  <c r="I120" i="58"/>
  <c r="C120" i="58"/>
  <c r="E120" i="58"/>
  <c r="I117" i="58"/>
  <c r="C117" i="58"/>
  <c r="E117" i="58" s="1"/>
  <c r="I116" i="58"/>
  <c r="C116" i="58"/>
  <c r="E116" i="58"/>
  <c r="I115" i="58"/>
  <c r="C115" i="58"/>
  <c r="E115" i="58" s="1"/>
  <c r="I112" i="58"/>
  <c r="C112" i="58"/>
  <c r="E112" i="58" s="1"/>
  <c r="I111" i="58"/>
  <c r="C111" i="58"/>
  <c r="E111" i="58" s="1"/>
  <c r="I110" i="58"/>
  <c r="C110" i="58"/>
  <c r="E110" i="58" s="1"/>
  <c r="I107" i="58"/>
  <c r="E107" i="58"/>
  <c r="I106" i="58"/>
  <c r="E106" i="58"/>
  <c r="I105" i="58"/>
  <c r="E105" i="58"/>
  <c r="I102" i="58"/>
  <c r="C102" i="58"/>
  <c r="E102" i="58" s="1"/>
  <c r="I101" i="58"/>
  <c r="C101" i="58"/>
  <c r="E101" i="58" s="1"/>
  <c r="I100" i="58"/>
  <c r="C100" i="58"/>
  <c r="E100" i="58" s="1"/>
  <c r="I97" i="58"/>
  <c r="E97" i="58"/>
  <c r="I96" i="58"/>
  <c r="E96" i="58"/>
  <c r="I95" i="58"/>
  <c r="E95" i="58"/>
  <c r="E92" i="58"/>
  <c r="C91" i="58"/>
  <c r="E91" i="58"/>
  <c r="G90" i="58"/>
  <c r="C90" i="58"/>
  <c r="E90" i="58" s="1"/>
  <c r="I87" i="58"/>
  <c r="E87" i="58"/>
  <c r="I86" i="58"/>
  <c r="E86" i="58"/>
  <c r="I85" i="58"/>
  <c r="C85" i="58"/>
  <c r="E85" i="58" s="1"/>
  <c r="G81" i="58"/>
  <c r="G82" i="58"/>
  <c r="I82" i="58" s="1"/>
  <c r="C81" i="58"/>
  <c r="E81" i="58" s="1"/>
  <c r="I80" i="58"/>
  <c r="C80" i="58"/>
  <c r="E80" i="58" s="1"/>
  <c r="I79" i="58"/>
  <c r="C79" i="58"/>
  <c r="E79" i="58" s="1"/>
  <c r="G76" i="58"/>
  <c r="I76" i="58" s="1"/>
  <c r="K75" i="58"/>
  <c r="C75" i="58"/>
  <c r="E75" i="58" s="1"/>
  <c r="C76" i="58"/>
  <c r="E76" i="58" s="1"/>
  <c r="G74" i="58"/>
  <c r="I74" i="58" s="1"/>
  <c r="C74" i="58"/>
  <c r="E74" i="58"/>
  <c r="G73" i="58"/>
  <c r="I73" i="58" s="1"/>
  <c r="C73" i="58"/>
  <c r="E73" i="58" s="1"/>
  <c r="G69" i="58"/>
  <c r="C69" i="58"/>
  <c r="C68" i="58"/>
  <c r="G68" i="58" s="1"/>
  <c r="C60" i="58"/>
  <c r="C59" i="58"/>
  <c r="C58" i="58"/>
  <c r="G53" i="58"/>
  <c r="C53" i="58"/>
  <c r="I50" i="58"/>
  <c r="E50" i="58"/>
  <c r="G49" i="58"/>
  <c r="AB10" i="58"/>
  <c r="I91" i="58"/>
  <c r="I155" i="58"/>
  <c r="I90" i="58"/>
  <c r="I156" i="58"/>
  <c r="E156" i="58"/>
  <c r="I81" i="58"/>
  <c r="E140" i="58"/>
  <c r="E146" i="58"/>
  <c r="E155" i="58"/>
  <c r="E145" i="58"/>
  <c r="I152" i="58"/>
  <c r="I141" i="58"/>
  <c r="AK56" i="29"/>
  <c r="AH56" i="29"/>
  <c r="AD56" i="29"/>
  <c r="X56" i="29"/>
  <c r="S56" i="29"/>
  <c r="N56" i="29"/>
  <c r="I56" i="29"/>
  <c r="F56" i="29"/>
  <c r="AF54" i="29"/>
  <c r="AE54" i="29"/>
  <c r="AA54" i="29"/>
  <c r="Y54" i="29"/>
  <c r="W54" i="29"/>
  <c r="W56" i="29" s="1"/>
  <c r="R54" i="29"/>
  <c r="P54" i="29"/>
  <c r="O54" i="29"/>
  <c r="K54" i="29"/>
  <c r="G54" i="29"/>
  <c r="AG52" i="29"/>
  <c r="AB52" i="29"/>
  <c r="AI52" i="29" s="1"/>
  <c r="Z52" i="29"/>
  <c r="T52" i="29"/>
  <c r="L52" i="29"/>
  <c r="E52" i="29"/>
  <c r="H52" i="29" s="1"/>
  <c r="AG51" i="29"/>
  <c r="AB51" i="29"/>
  <c r="AI51" i="29" s="1"/>
  <c r="Z51" i="29"/>
  <c r="T51" i="29"/>
  <c r="L51" i="29"/>
  <c r="E51" i="29"/>
  <c r="H51" i="29" s="1"/>
  <c r="AE47" i="29"/>
  <c r="AA47" i="29"/>
  <c r="Y47" i="29"/>
  <c r="R47" i="29"/>
  <c r="Q47" i="29"/>
  <c r="P47" i="29"/>
  <c r="O47" i="29"/>
  <c r="K47" i="29"/>
  <c r="J47" i="29"/>
  <c r="G47" i="29"/>
  <c r="E47" i="29"/>
  <c r="AF45" i="29"/>
  <c r="AI45" i="29" s="1"/>
  <c r="T45" i="29"/>
  <c r="U45" i="29" s="1"/>
  <c r="L45" i="29"/>
  <c r="M45" i="29" s="1"/>
  <c r="H45" i="29"/>
  <c r="AF44" i="29"/>
  <c r="AI44" i="29" s="1"/>
  <c r="Z44" i="29"/>
  <c r="Z47" i="29" s="1"/>
  <c r="T44" i="29"/>
  <c r="L44" i="29"/>
  <c r="M44" i="29" s="1"/>
  <c r="H44" i="29"/>
  <c r="AF43" i="29"/>
  <c r="AI43" i="29" s="1"/>
  <c r="T43" i="29"/>
  <c r="U43" i="29" s="1"/>
  <c r="L43" i="29"/>
  <c r="M43" i="29" s="1"/>
  <c r="H43" i="29"/>
  <c r="AF42" i="29"/>
  <c r="AI42" i="29" s="1"/>
  <c r="T42" i="29"/>
  <c r="U42" i="29" s="1"/>
  <c r="L42" i="29"/>
  <c r="M42" i="29"/>
  <c r="H42" i="29"/>
  <c r="AF41" i="29"/>
  <c r="AI41" i="29" s="1"/>
  <c r="T41" i="29"/>
  <c r="U41" i="29" s="1"/>
  <c r="L41" i="29"/>
  <c r="M41" i="29" s="1"/>
  <c r="H41" i="29"/>
  <c r="AF40" i="29"/>
  <c r="AI40" i="29" s="1"/>
  <c r="T40" i="29"/>
  <c r="U40" i="29" s="1"/>
  <c r="L40" i="29"/>
  <c r="M40" i="29" s="1"/>
  <c r="H40" i="29"/>
  <c r="AF39" i="29"/>
  <c r="AI39" i="29" s="1"/>
  <c r="T39" i="29"/>
  <c r="U39" i="29" s="1"/>
  <c r="L39" i="29"/>
  <c r="M39" i="29" s="1"/>
  <c r="H39" i="29"/>
  <c r="AF38" i="29"/>
  <c r="T38" i="29"/>
  <c r="U38" i="29" s="1"/>
  <c r="L38" i="29"/>
  <c r="M38" i="29" s="1"/>
  <c r="H38" i="29"/>
  <c r="AF37" i="29"/>
  <c r="AI37" i="29" s="1"/>
  <c r="T37" i="29"/>
  <c r="W37" i="29" s="1"/>
  <c r="AB37" i="29" s="1"/>
  <c r="AC37" i="29" s="1"/>
  <c r="L37" i="29"/>
  <c r="M37" i="29" s="1"/>
  <c r="H37" i="29"/>
  <c r="AF36" i="29"/>
  <c r="AI36" i="29" s="1"/>
  <c r="T36" i="29"/>
  <c r="U36" i="29" s="1"/>
  <c r="L36" i="29"/>
  <c r="M36" i="29" s="1"/>
  <c r="H36" i="29"/>
  <c r="AF35" i="29"/>
  <c r="T35" i="29"/>
  <c r="L35" i="29"/>
  <c r="M35" i="29" s="1"/>
  <c r="H35" i="29"/>
  <c r="AA26" i="29"/>
  <c r="R26" i="29"/>
  <c r="Q26" i="29"/>
  <c r="P26" i="29"/>
  <c r="O26" i="29"/>
  <c r="K26" i="29"/>
  <c r="G26" i="29"/>
  <c r="AE26" i="29"/>
  <c r="AE56" i="29" s="1"/>
  <c r="J26" i="29"/>
  <c r="AG15" i="29"/>
  <c r="T15" i="29"/>
  <c r="L15" i="29"/>
  <c r="E15" i="29"/>
  <c r="H15" i="29" s="1"/>
  <c r="AG14" i="29"/>
  <c r="Z14" i="29"/>
  <c r="T14" i="29"/>
  <c r="L14" i="29"/>
  <c r="E14" i="29"/>
  <c r="H14" i="29" s="1"/>
  <c r="Z13" i="29"/>
  <c r="T13" i="29"/>
  <c r="L13" i="29"/>
  <c r="E13" i="29"/>
  <c r="H13" i="29" s="1"/>
  <c r="Z12" i="29"/>
  <c r="T12" i="29"/>
  <c r="L12" i="29"/>
  <c r="E12" i="29"/>
  <c r="H12" i="29" s="1"/>
  <c r="AG11" i="29"/>
  <c r="T11" i="29"/>
  <c r="L11" i="29"/>
  <c r="E11" i="29"/>
  <c r="H11" i="29" s="1"/>
  <c r="AG10" i="29"/>
  <c r="T10" i="29"/>
  <c r="L10" i="29"/>
  <c r="E10" i="29"/>
  <c r="Z9" i="29"/>
  <c r="T9" i="29"/>
  <c r="L9" i="29"/>
  <c r="E9" i="29"/>
  <c r="H9" i="29" s="1"/>
  <c r="Z8" i="29"/>
  <c r="Y8" i="29"/>
  <c r="Y26" i="29" s="1"/>
  <c r="T8" i="29"/>
  <c r="U8" i="29" s="1"/>
  <c r="L8" i="29"/>
  <c r="E8" i="29"/>
  <c r="H8" i="29" s="1"/>
  <c r="AM1" i="29"/>
  <c r="E157" i="58"/>
  <c r="M51" i="29"/>
  <c r="AB54" i="29"/>
  <c r="AC54" i="29" s="1"/>
  <c r="U35" i="29"/>
  <c r="W35" i="29"/>
  <c r="AI38" i="29"/>
  <c r="AI35" i="29"/>
  <c r="AI47" i="29" s="1"/>
  <c r="AC52" i="29"/>
  <c r="O94" i="72" l="1"/>
  <c r="O95" i="72" s="1"/>
  <c r="O56" i="72"/>
  <c r="W44" i="29"/>
  <c r="C82" i="58"/>
  <c r="E82" i="58" s="1"/>
  <c r="U13" i="29"/>
  <c r="O56" i="29"/>
  <c r="G55" i="72"/>
  <c r="G56" i="72" s="1"/>
  <c r="Q90" i="72"/>
  <c r="Q91" i="72" s="1"/>
  <c r="L13" i="72"/>
  <c r="AC51" i="29"/>
  <c r="M57" i="94"/>
  <c r="M58" i="94" s="1"/>
  <c r="L18" i="72"/>
  <c r="G58" i="94"/>
  <c r="M9" i="94"/>
  <c r="M49" i="94" s="1"/>
  <c r="M16" i="73"/>
  <c r="P16" i="73"/>
  <c r="P14" i="73"/>
  <c r="P15" i="73"/>
  <c r="U11" i="29"/>
  <c r="I147" i="58"/>
  <c r="I145" i="58"/>
  <c r="S55" i="72"/>
  <c r="W42" i="29"/>
  <c r="AG42" i="29" s="1"/>
  <c r="L90" i="72"/>
  <c r="L91" i="72" s="1"/>
  <c r="J91" i="72"/>
  <c r="Y56" i="29"/>
  <c r="P56" i="29"/>
  <c r="S90" i="72"/>
  <c r="S91" i="72" s="1"/>
  <c r="U52" i="29"/>
  <c r="Q9" i="72"/>
  <c r="AG54" i="29"/>
  <c r="S26" i="72"/>
  <c r="M52" i="29"/>
  <c r="H54" i="29"/>
  <c r="J26" i="72"/>
  <c r="M11" i="29"/>
  <c r="G91" i="72"/>
  <c r="Z54" i="29"/>
  <c r="AB15" i="29"/>
  <c r="AC15" i="29" s="1"/>
  <c r="F34" i="81"/>
  <c r="AF13" i="29"/>
  <c r="AG13" i="29" s="1"/>
  <c r="AC12" i="29"/>
  <c r="F41" i="77"/>
  <c r="AF9" i="29"/>
  <c r="AG9" i="29" s="1"/>
  <c r="F37" i="76"/>
  <c r="AF8" i="29"/>
  <c r="M9" i="29"/>
  <c r="AF47" i="29"/>
  <c r="U14" i="29"/>
  <c r="U12" i="29"/>
  <c r="Z26" i="29"/>
  <c r="Z56" i="29" s="1"/>
  <c r="U15" i="29"/>
  <c r="M13" i="29"/>
  <c r="AI54" i="29"/>
  <c r="AJ54" i="29" s="1"/>
  <c r="AJ51" i="29"/>
  <c r="AL51" i="29"/>
  <c r="AL54" i="29" s="1"/>
  <c r="U44" i="29"/>
  <c r="W39" i="29"/>
  <c r="AG39" i="29" s="1"/>
  <c r="T54" i="29"/>
  <c r="L47" i="29"/>
  <c r="M47" i="29" s="1"/>
  <c r="W41" i="29"/>
  <c r="W36" i="29"/>
  <c r="AB36" i="29" s="1"/>
  <c r="AC36" i="29" s="1"/>
  <c r="U9" i="29"/>
  <c r="W43" i="29"/>
  <c r="AB43" i="29" s="1"/>
  <c r="AC43" i="29" s="1"/>
  <c r="M15" i="29"/>
  <c r="AA56" i="29"/>
  <c r="W45" i="29"/>
  <c r="M12" i="29"/>
  <c r="E26" i="29"/>
  <c r="T47" i="29"/>
  <c r="U47" i="29" s="1"/>
  <c r="L54" i="29"/>
  <c r="W38" i="29"/>
  <c r="U51" i="29"/>
  <c r="AJ35" i="29"/>
  <c r="E54" i="29"/>
  <c r="M14" i="29"/>
  <c r="G56" i="29"/>
  <c r="K56" i="29"/>
  <c r="AB44" i="29"/>
  <c r="AC44" i="29" s="1"/>
  <c r="AG44" i="29"/>
  <c r="AL52" i="29"/>
  <c r="AJ52" i="29"/>
  <c r="AJ44" i="29"/>
  <c r="AL44" i="29"/>
  <c r="AJ37" i="29"/>
  <c r="AL37" i="29"/>
  <c r="AG37" i="29"/>
  <c r="H10" i="29"/>
  <c r="H26" i="29" s="1"/>
  <c r="U37" i="29"/>
  <c r="W40" i="29"/>
  <c r="AL40" i="29" s="1"/>
  <c r="AB42" i="29"/>
  <c r="AC42" i="29" s="1"/>
  <c r="M10" i="29"/>
  <c r="T26" i="29"/>
  <c r="R56" i="29"/>
  <c r="AL35" i="29"/>
  <c r="AL47" i="29" s="1"/>
  <c r="H47" i="29"/>
  <c r="AG35" i="29"/>
  <c r="AB35" i="29"/>
  <c r="AG12" i="29"/>
  <c r="M8" i="29"/>
  <c r="U10" i="29"/>
  <c r="L26" i="29"/>
  <c r="AL12" i="29"/>
  <c r="F27" i="77"/>
  <c r="F24" i="79"/>
  <c r="F21" i="78"/>
  <c r="AB10" i="29" s="1"/>
  <c r="J58" i="94"/>
  <c r="G94" i="72" l="1"/>
  <c r="G95" i="72" s="1"/>
  <c r="AL36" i="29"/>
  <c r="M61" i="94"/>
  <c r="M62" i="94" s="1"/>
  <c r="AF26" i="29"/>
  <c r="J55" i="72"/>
  <c r="L26" i="72"/>
  <c r="S94" i="72"/>
  <c r="S95" i="72" s="1"/>
  <c r="S56" i="72"/>
  <c r="AL42" i="29"/>
  <c r="H56" i="29"/>
  <c r="AJ42" i="29"/>
  <c r="AJ36" i="29"/>
  <c r="U26" i="29"/>
  <c r="Q26" i="72"/>
  <c r="AG8" i="29"/>
  <c r="J62" i="94"/>
  <c r="F21" i="84"/>
  <c r="AB16" i="29"/>
  <c r="AI15" i="29"/>
  <c r="AJ15" i="29" s="1"/>
  <c r="F22" i="82"/>
  <c r="AB14" i="29"/>
  <c r="F23" i="81"/>
  <c r="AB13" i="29"/>
  <c r="F25" i="79"/>
  <c r="AB11" i="29"/>
  <c r="F28" i="77"/>
  <c r="AB9" i="29"/>
  <c r="F41" i="76"/>
  <c r="AB8" i="29"/>
  <c r="AI10" i="29"/>
  <c r="AC10" i="29"/>
  <c r="F50" i="92"/>
  <c r="F51" i="92" s="1"/>
  <c r="AB24" i="29"/>
  <c r="AJ43" i="29"/>
  <c r="T56" i="29"/>
  <c r="M54" i="29"/>
  <c r="U54" i="29"/>
  <c r="AG43" i="29"/>
  <c r="AG36" i="29"/>
  <c r="E56" i="29"/>
  <c r="AB39" i="29"/>
  <c r="AC39" i="29" s="1"/>
  <c r="AL43" i="29"/>
  <c r="AB41" i="29"/>
  <c r="AC41" i="29" s="1"/>
  <c r="AG41" i="29"/>
  <c r="AL41" i="29"/>
  <c r="AB45" i="29"/>
  <c r="AC45" i="29" s="1"/>
  <c r="AL45" i="29"/>
  <c r="AG45" i="29"/>
  <c r="AJ45" i="29"/>
  <c r="AJ40" i="29"/>
  <c r="AL39" i="29"/>
  <c r="AJ41" i="29"/>
  <c r="W47" i="29"/>
  <c r="AG47" i="29" s="1"/>
  <c r="AJ39" i="29"/>
  <c r="AB38" i="29"/>
  <c r="AC38" i="29" s="1"/>
  <c r="AG38" i="29"/>
  <c r="AJ38" i="29"/>
  <c r="AL38" i="29"/>
  <c r="AC35" i="29"/>
  <c r="AB40" i="29"/>
  <c r="AC40" i="29" s="1"/>
  <c r="AG40" i="29"/>
  <c r="L56" i="29"/>
  <c r="M26" i="29"/>
  <c r="F41" i="83"/>
  <c r="F42" i="83" s="1"/>
  <c r="F26" i="80"/>
  <c r="F22" i="78"/>
  <c r="F34" i="84"/>
  <c r="F35" i="84" s="1"/>
  <c r="F41" i="80"/>
  <c r="F42" i="80" s="1"/>
  <c r="F42" i="79"/>
  <c r="F43" i="79" s="1"/>
  <c r="F37" i="81"/>
  <c r="F38" i="81" s="1"/>
  <c r="F37" i="78"/>
  <c r="F38" i="78" s="1"/>
  <c r="F44" i="77"/>
  <c r="F45" i="77" s="1"/>
  <c r="F29" i="92"/>
  <c r="F27" i="83"/>
  <c r="F39" i="82"/>
  <c r="F40" i="82" s="1"/>
  <c r="F25" i="76"/>
  <c r="J50" i="94"/>
  <c r="G62" i="94" l="1"/>
  <c r="AF56" i="29"/>
  <c r="AG56" i="29" s="1"/>
  <c r="AG26" i="29"/>
  <c r="M56" i="29"/>
  <c r="J94" i="72"/>
  <c r="J56" i="72"/>
  <c r="L55" i="72"/>
  <c r="L56" i="72" s="1"/>
  <c r="Q55" i="72"/>
  <c r="AL15" i="29"/>
  <c r="AC16" i="29"/>
  <c r="AI16" i="29"/>
  <c r="AI14" i="29"/>
  <c r="AC14" i="29"/>
  <c r="AC13" i="29"/>
  <c r="AI13" i="29"/>
  <c r="AI11" i="29"/>
  <c r="AC11" i="29"/>
  <c r="AC9" i="29"/>
  <c r="AI9" i="29"/>
  <c r="AC8" i="29"/>
  <c r="AI8" i="29"/>
  <c r="AJ10" i="29"/>
  <c r="AL10" i="29"/>
  <c r="AB26" i="29"/>
  <c r="AC24" i="29"/>
  <c r="AI24" i="29"/>
  <c r="AJ47" i="29"/>
  <c r="U56" i="29"/>
  <c r="AB47" i="29"/>
  <c r="AC47" i="29" s="1"/>
  <c r="M50" i="94"/>
  <c r="Q56" i="72" l="1"/>
  <c r="Q94" i="72"/>
  <c r="Q95" i="72" s="1"/>
  <c r="J95" i="72"/>
  <c r="L94" i="72"/>
  <c r="L95" i="72" s="1"/>
  <c r="AJ16" i="29"/>
  <c r="AL16" i="29"/>
  <c r="AJ14" i="29"/>
  <c r="AL14" i="29"/>
  <c r="AL13" i="29"/>
  <c r="AJ13" i="29"/>
  <c r="AL11" i="29"/>
  <c r="AJ11" i="29"/>
  <c r="AL9" i="29"/>
  <c r="AJ9" i="29"/>
  <c r="AJ8" i="29"/>
  <c r="AL8" i="29"/>
  <c r="AL24" i="29"/>
  <c r="AJ24" i="29"/>
  <c r="AI26" i="29"/>
  <c r="AB56" i="29"/>
  <c r="AC56" i="29" s="1"/>
  <c r="AC26" i="29"/>
  <c r="AL26" i="29" l="1"/>
  <c r="AL56" i="29" s="1"/>
  <c r="AI56" i="29"/>
  <c r="AJ56" i="29" s="1"/>
  <c r="AJ26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Shuppy</author>
  </authors>
  <commentList>
    <comment ref="M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Does not include UTECH transfer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 Mortensen</author>
    <author>Brian Shuppy</author>
  </authors>
  <commentList>
    <comment ref="I7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Brad Mortensen:</t>
        </r>
        <r>
          <rPr>
            <sz val="9"/>
            <color indexed="81"/>
            <rFont val="Tahoma"/>
            <family val="2"/>
          </rPr>
          <t xml:space="preserve">
Put in 8.9% instead of the calcuatled 9.1% so that it ties better throughout the other attachments and shows the 3.4% decrease mentioned in the summary.</t>
        </r>
      </text>
    </comment>
    <comment ref="C170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Use S10 budget compensation worksheet (less turnover savings) to calculate the dedicated credit amounts.  Exclude ISF since its not a part of the budget request process.</t>
        </r>
      </text>
    </comment>
    <comment ref="C17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Include compensation, ISF, and other dedicated credits included on sideways spreadsheets</t>
        </r>
      </text>
    </comment>
    <comment ref="C175" authorId="1" shapeId="0" xr:uid="{38BE9300-DD59-4687-A6FF-528E7DD4450F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Use S10 budget compensation worksheet (less turnover savings) to calculate the dedicated credit amounts.  Exclude ISF since its not a part of the budget request process.</t>
        </r>
      </text>
    </comment>
    <comment ref="C177" authorId="1" shapeId="0" xr:uid="{1F37543B-4F2C-428F-BAF2-A420B663189C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Include compensation, ISF, and other dedicated credits included on sideways spreadsheets</t>
        </r>
      </text>
    </comment>
    <comment ref="C180" authorId="1" shapeId="0" xr:uid="{68AFABB4-68FF-4873-8161-5E5A08EFE15A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Use S10 budget compensation worksheet (less turnover savings) to calculate the dedicated credit amounts.  Exclude ISF since its not a part of the budget request process.</t>
        </r>
      </text>
    </comment>
    <comment ref="C182" authorId="1" shapeId="0" xr:uid="{343F730E-9457-4B60-B22D-559B291F4A9E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Include compensation, ISF, and other dedicated credits included on sideways spreadsheets</t>
        </r>
      </text>
    </comment>
    <comment ref="C185" authorId="1" shapeId="0" xr:uid="{FE3BAD04-C3E4-4244-9E80-126305E9129E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Use S10 budget compensation worksheet (less turnover savings) to calculate the dedicated credit amounts.  Exclude ISF since its not a part of the budget request process.</t>
        </r>
      </text>
    </comment>
    <comment ref="C187" authorId="1" shapeId="0" xr:uid="{AC31C799-67CF-48A2-8A47-620E0D5E7E78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Include compensation, ISF, and other dedicated credits included on sideways spreadsheets</t>
        </r>
      </text>
    </comment>
    <comment ref="C21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Brian Shuppy:</t>
        </r>
        <r>
          <rPr>
            <sz val="9"/>
            <color indexed="81"/>
            <rFont val="Tahoma"/>
            <family val="2"/>
          </rPr>
          <t xml:space="preserve">
Remove one-time and other adjustments</t>
        </r>
      </text>
    </comment>
  </commentList>
</comments>
</file>

<file path=xl/sharedStrings.xml><?xml version="1.0" encoding="utf-8"?>
<sst xmlns="http://schemas.openxmlformats.org/spreadsheetml/2006/main" count="956" uniqueCount="349">
  <si>
    <t>(Includes 8 Two- &amp; Four-year Institutions, SBR Statewide Programs, and SBR Administration)</t>
  </si>
  <si>
    <t>Appropriations</t>
  </si>
  <si>
    <t>Total Program Increases - Ongoing</t>
  </si>
  <si>
    <t>% Change From Base</t>
  </si>
  <si>
    <t>Final Appropriation</t>
  </si>
  <si>
    <t>Amount</t>
  </si>
  <si>
    <t>Above/
(Below) Gov</t>
  </si>
  <si>
    <t>Compensation</t>
  </si>
  <si>
    <t>Engineering Initiative</t>
  </si>
  <si>
    <t xml:space="preserve">Utah System of Higher Education </t>
  </si>
  <si>
    <t>Update</t>
  </si>
  <si>
    <t>(a)</t>
  </si>
  <si>
    <t>(b)</t>
  </si>
  <si>
    <t xml:space="preserve">(c) </t>
  </si>
  <si>
    <t>(d)</t>
  </si>
  <si>
    <t>(e)</t>
  </si>
  <si>
    <t>Back out 1-time Funds</t>
  </si>
  <si>
    <r>
      <t xml:space="preserve">2007-08 Ongoing Tax Funds Base Budget </t>
    </r>
    <r>
      <rPr>
        <sz val="10"/>
        <rFont val="Arial Narrow"/>
        <family val="2"/>
      </rPr>
      <t>(2008 Session)</t>
    </r>
  </si>
  <si>
    <t>Cuts</t>
  </si>
  <si>
    <t>Additions</t>
  </si>
  <si>
    <t>2007-08 Net Supplemental Adjustments</t>
  </si>
  <si>
    <t>Other
Transfers</t>
  </si>
  <si>
    <t>Enrollment 
Growth</t>
  </si>
  <si>
    <t>General Session 2008 ongoing Changes for Comp (HB 4)</t>
  </si>
  <si>
    <t xml:space="preserve">General Session 2008 ongoing Changes </t>
  </si>
  <si>
    <t xml:space="preserve">General Session 2008 ongoing Cuts </t>
  </si>
  <si>
    <t xml:space="preserve">General Session 2008 one-time Changes </t>
  </si>
  <si>
    <t>% Change</t>
  </si>
  <si>
    <t>University of Utah</t>
  </si>
  <si>
    <t>Utah State University</t>
  </si>
  <si>
    <t>Weber State University</t>
  </si>
  <si>
    <t>Southern Utah University</t>
  </si>
  <si>
    <t>Snow College</t>
  </si>
  <si>
    <t>Salt Lake Community College</t>
  </si>
  <si>
    <t>Notes:</t>
  </si>
  <si>
    <t>UCAT</t>
  </si>
  <si>
    <t>Administration</t>
  </si>
  <si>
    <t>Custom Fit</t>
  </si>
  <si>
    <t>Equipment</t>
  </si>
  <si>
    <t>Bridgerland ATC</t>
  </si>
  <si>
    <t>Davis ATC</t>
  </si>
  <si>
    <t>Dixie ATC</t>
  </si>
  <si>
    <t>Mountainland ATC</t>
  </si>
  <si>
    <t>Ogden-Weber ATC</t>
  </si>
  <si>
    <t>Salt Lake-Tooele ATC</t>
  </si>
  <si>
    <t>Southwest ATC</t>
  </si>
  <si>
    <t>Uintah Basin ATC</t>
  </si>
  <si>
    <t>Subtotal - UCAT</t>
  </si>
  <si>
    <t>Other</t>
  </si>
  <si>
    <t>UEN</t>
  </si>
  <si>
    <t xml:space="preserve">TOTAL </t>
  </si>
  <si>
    <t>Comparison of New Appropriated Ongoing Operating Budgets</t>
  </si>
  <si>
    <t>INCREASE FROM PREVIOUS YEAR</t>
  </si>
  <si>
    <t xml:space="preserve">USHE Share of </t>
  </si>
  <si>
    <t>1987-88</t>
  </si>
  <si>
    <t>Regents' Request</t>
  </si>
  <si>
    <t>Gov. Bangerter's Recommendation</t>
  </si>
  <si>
    <t>1989-90</t>
  </si>
  <si>
    <t>1990-91</t>
  </si>
  <si>
    <t>1991-92</t>
  </si>
  <si>
    <t>1992-93</t>
  </si>
  <si>
    <t>1993-94</t>
  </si>
  <si>
    <t>Gov. Leavitt's Recommendation</t>
  </si>
  <si>
    <t>1994-95</t>
  </si>
  <si>
    <t>1995-96</t>
  </si>
  <si>
    <t>1996-97</t>
  </si>
  <si>
    <t xml:space="preserve">Final Appropriation </t>
  </si>
  <si>
    <t>1997-98</t>
  </si>
  <si>
    <t>1998-99</t>
  </si>
  <si>
    <t>1999-2000</t>
  </si>
  <si>
    <t>2000-01</t>
  </si>
  <si>
    <t>2001-02</t>
  </si>
  <si>
    <t>2002-03</t>
  </si>
  <si>
    <r>
      <t xml:space="preserve">Final Appropriation </t>
    </r>
    <r>
      <rPr>
        <i/>
        <sz val="10"/>
        <rFont val="Arial Narrow"/>
        <family val="2"/>
      </rPr>
      <t>(General Session)</t>
    </r>
  </si>
  <si>
    <r>
      <t xml:space="preserve">Revised Appropriation </t>
    </r>
    <r>
      <rPr>
        <vertAlign val="superscript"/>
        <sz val="11"/>
        <rFont val="Arial Narrow"/>
        <family val="2"/>
      </rPr>
      <t>(3)</t>
    </r>
  </si>
  <si>
    <t>2003-04</t>
  </si>
  <si>
    <t>2004-05</t>
  </si>
  <si>
    <t>Gov. Walker's Recommendation</t>
  </si>
  <si>
    <t>2005-06</t>
  </si>
  <si>
    <t>Gov. Huntsman's Recommendation</t>
  </si>
  <si>
    <t>2006-07</t>
  </si>
  <si>
    <t>2007-08</t>
  </si>
  <si>
    <t>2008-09</t>
  </si>
  <si>
    <t>Beginning Base Budget FY 02 (01 approp less 1-time)</t>
  </si>
  <si>
    <t>Beginning Base Budget FY 03 (01 approp less 1-time)</t>
  </si>
  <si>
    <t>Beginning Base Budget FY 04 (01 approp less 1-time)</t>
  </si>
  <si>
    <t>Beginning Base Budget FY 05 (01 approp less 1-time)</t>
  </si>
  <si>
    <t>Beginning Base Budget FY 06 (01 approp less 1-time)</t>
  </si>
  <si>
    <t>Beginning Base Budget FY 07 (01 approp less 1-time)</t>
  </si>
  <si>
    <t>Beginning Base Budget FY 08 (01 approp less 1-time)</t>
  </si>
  <si>
    <t>Beginning Base Budget FY 09 (01 approp less 1-time)</t>
  </si>
  <si>
    <t>Utah Valley University</t>
  </si>
  <si>
    <r>
      <t xml:space="preserve">2009-10 Original Tax Funds Base Budget - </t>
    </r>
    <r>
      <rPr>
        <sz val="10"/>
        <rFont val="Arial Narrow"/>
        <family val="2"/>
      </rPr>
      <t>Ongoing and One-time (2009 Session)</t>
    </r>
  </si>
  <si>
    <t>2009-10</t>
  </si>
  <si>
    <t>2010-11</t>
  </si>
  <si>
    <t>Gov. Herbert's Recommendation</t>
  </si>
  <si>
    <t>Beginning Base Budget FY 10 (01 approp less 1-time)</t>
  </si>
  <si>
    <t>Beginning Base Budget FY 11 (01 approp less 1-time)</t>
  </si>
  <si>
    <t>Beginning Base Budget FY 12 (01 approp less 1-time)</t>
  </si>
  <si>
    <t>2011-12</t>
  </si>
  <si>
    <t>One-time Adjustments</t>
  </si>
  <si>
    <t>2012-13</t>
  </si>
  <si>
    <t>Beginning Base Budget FY 13 (01 approp less 1-time)</t>
  </si>
  <si>
    <t>Total Program Increases - One-Time</t>
  </si>
  <si>
    <t>2013-14</t>
  </si>
  <si>
    <t>2014-15</t>
  </si>
  <si>
    <t>Beginning Base Budget FY 14 (01 approp less 1-time)</t>
  </si>
  <si>
    <t>Beginning Base Budget FY 15 (01 approp less 1-time)</t>
  </si>
  <si>
    <t>HB2: MBF Acute Equity</t>
  </si>
  <si>
    <t>HB7: Compensation</t>
  </si>
  <si>
    <t>HB2: Mission Based Funding - Distinctive Mission</t>
  </si>
  <si>
    <t>HB155: UU Poison Control</t>
  </si>
  <si>
    <t>HB2: DSU Implementation</t>
  </si>
  <si>
    <t>HB2: USU Veterinary Medicine Program</t>
  </si>
  <si>
    <t>HB3: USU Graduate Program Support</t>
  </si>
  <si>
    <t>HB2: Regents' Scholarship</t>
  </si>
  <si>
    <t>HB2: Performance Based Funding</t>
  </si>
  <si>
    <t>HB2: New Century Scholarship</t>
  </si>
  <si>
    <t>HB2: USU Extension Water Conservation</t>
  </si>
  <si>
    <t>HB2: UU College of Nursing</t>
  </si>
  <si>
    <t>2015-16</t>
  </si>
  <si>
    <t>Beginning Base Budget FY 16 (01 approp less 1-time)</t>
  </si>
  <si>
    <t>2008-09 Base Adjustments</t>
  </si>
  <si>
    <t>2016-17</t>
  </si>
  <si>
    <t>Beginning Base Budget FY 17 (01 approp less 1-time)</t>
  </si>
  <si>
    <t>2017-18</t>
  </si>
  <si>
    <t>Beginning Base Budget FY 18 (01 approp less 1-time)</t>
  </si>
  <si>
    <t>Performance Based</t>
  </si>
  <si>
    <r>
      <t>TOTAL EXPENDITURES</t>
    </r>
    <r>
      <rPr>
        <vertAlign val="superscript"/>
        <sz val="11"/>
        <rFont val="Arial Narrow"/>
        <family val="2"/>
      </rPr>
      <t xml:space="preserve"> (1)</t>
    </r>
  </si>
  <si>
    <t>Recommendations and Appropriations for Recent Years</t>
  </si>
  <si>
    <t>(2) Ongoing and one-time appropriations (source: Office of the Legislative Fiscal Analyst Appropriations Reports, Statewide Summary Table 3 and USHE Data Book Tab G Table 4, Higher Ed - State Administration, Colleges &amp; Universities)</t>
  </si>
  <si>
    <r>
      <t xml:space="preserve">STATE TAX FUNDS </t>
    </r>
    <r>
      <rPr>
        <vertAlign val="superscript"/>
        <sz val="11"/>
        <rFont val="Arial Narrow"/>
        <family val="2"/>
      </rPr>
      <t>(1)</t>
    </r>
  </si>
  <si>
    <r>
      <t xml:space="preserve">State Tax Funds </t>
    </r>
    <r>
      <rPr>
        <vertAlign val="superscript"/>
        <sz val="11"/>
        <rFont val="Arial Narrow"/>
        <family val="2"/>
      </rPr>
      <t>(2)</t>
    </r>
  </si>
  <si>
    <t>(1) Regents', Governor, and Final Appropriated ongoing increases of E&amp;G state tax funds and dedicated credits (source: Beginning Base Budget Appropriated less One-time, Sideways sheet, USHE total expenditures and E&amp;G tax fund expenditures, excludes UEN, UCAT, includes UMEC starting in FY15</t>
  </si>
  <si>
    <t>2018-19</t>
  </si>
  <si>
    <t>Beginning Base Budget FY 19 (01 approp less 1-time)</t>
  </si>
  <si>
    <t>2019-20</t>
  </si>
  <si>
    <t>Beginning Base Budget FY 20 (01 approp less 1-time)</t>
  </si>
  <si>
    <t>From Sideways Sheets, Beginning Base Budget (appropropiations less one-time (Section in yellow)</t>
  </si>
  <si>
    <t>Utah College Access Advisors</t>
  </si>
  <si>
    <t>Growth</t>
  </si>
  <si>
    <t>Technical Education Priorities</t>
  </si>
  <si>
    <t>Total Appropriation (On-going and one-time)</t>
  </si>
  <si>
    <t>2020-21</t>
  </si>
  <si>
    <t>Beginning Base Budget FY 21 (01 approp less 1-time)</t>
  </si>
  <si>
    <r>
      <t xml:space="preserve">Summary of Appropriations, 2020 General Session </t>
    </r>
    <r>
      <rPr>
        <b/>
        <sz val="16"/>
        <rFont val="Arial Narrow"/>
        <family val="2"/>
      </rPr>
      <t>(Tax Funds Only)</t>
    </r>
  </si>
  <si>
    <t>Mental Health Workforce Amendments</t>
  </si>
  <si>
    <t>Behavioral Health Workforce Reinvestment</t>
  </si>
  <si>
    <t>Mental Health Service Providers Training Investment</t>
  </si>
  <si>
    <t>Systems Engineering Program</t>
  </si>
  <si>
    <t>Wildlife Management Research</t>
  </si>
  <si>
    <t>Utah Area Health Education Centers</t>
  </si>
  <si>
    <t>Operations &amp; Maintenance</t>
  </si>
  <si>
    <t>Internal Service Funds</t>
  </si>
  <si>
    <t>Strategic Workforce</t>
  </si>
  <si>
    <t>Rocky Mountain Center for Occup &amp; Environ Health</t>
  </si>
  <si>
    <t>Utah Veterinary Diagnostic Laboratory</t>
  </si>
  <si>
    <t>Student Athlete Graduation Improvement</t>
  </si>
  <si>
    <t>Public Finance Support</t>
  </si>
  <si>
    <t>Utah Industry Resource Alliance</t>
  </si>
  <si>
    <t>Teacher Preparation Scholarships</t>
  </si>
  <si>
    <t>Brain Effects of Cannabinoids</t>
  </si>
  <si>
    <t>Strategic Workforce Initiative</t>
  </si>
  <si>
    <t>Utah Shakespeare Festival Equipment</t>
  </si>
  <si>
    <t>Health Science Outreach</t>
  </si>
  <si>
    <t>Center for the School of the Future</t>
  </si>
  <si>
    <t>2019-20 Appropriated Base Budget (Ongoing and One-Time)</t>
  </si>
  <si>
    <t>One-Time Supplemental Adjustments</t>
  </si>
  <si>
    <t>2019-20 Revised Appropriated Base Budget</t>
  </si>
  <si>
    <t>On-going Adjustments</t>
  </si>
  <si>
    <t>One-Time Adjustments</t>
  </si>
  <si>
    <t>(1) Program Adjustments - Ongoing</t>
  </si>
  <si>
    <t>(2) Program Adjustments - One-Time</t>
  </si>
  <si>
    <t>Beginning Base Budget (Sideways sheet yellow)</t>
  </si>
  <si>
    <t>Statewide Public Safety Intelligence Tool</t>
  </si>
  <si>
    <t>Entrepreneurial Community Outreach</t>
  </si>
  <si>
    <t>Subtotal - USHE Priority On-going Adjustments</t>
  </si>
  <si>
    <t>USHE Budget Priorities Percent Adjustment</t>
  </si>
  <si>
    <t>Less One-Time Supplemental Adjustments</t>
  </si>
  <si>
    <t>2020-21 Beginning Base Budget</t>
  </si>
  <si>
    <t>Ongoing Adjustments</t>
  </si>
  <si>
    <t>2020-21 Base Budget</t>
  </si>
  <si>
    <t>Fire and Rescue Training</t>
  </si>
  <si>
    <t>Rural Online Initiative</t>
  </si>
  <si>
    <t>Teacher Academy</t>
  </si>
  <si>
    <t>Rural Policy and Public Lands Institute</t>
  </si>
  <si>
    <t>Bridgerland Technical College</t>
  </si>
  <si>
    <t>Davis Technical College</t>
  </si>
  <si>
    <t>Dixie Technical College</t>
  </si>
  <si>
    <t>Mountainland Technical College</t>
  </si>
  <si>
    <t>Ogden-Weber Technical College</t>
  </si>
  <si>
    <t>Southwest Technical College</t>
  </si>
  <si>
    <t>Tooele Technical College</t>
  </si>
  <si>
    <t>Uintah Basin Technical College</t>
  </si>
  <si>
    <t>Utah Board of Higher Education</t>
  </si>
  <si>
    <t>Non-State Funded Building O&amp;M (HB2)</t>
  </si>
  <si>
    <t>Center for the School of the Future (HB3)</t>
  </si>
  <si>
    <t>Emerging Tech Talent Initiative</t>
  </si>
  <si>
    <t>Financial Aid Amendments</t>
  </si>
  <si>
    <t>2020 Vice President Debate</t>
  </si>
  <si>
    <t>Peer to Peer Mental Health Intervention</t>
  </si>
  <si>
    <t>Operation and Maintenance</t>
  </si>
  <si>
    <t>Budget Priorities</t>
  </si>
  <si>
    <t>Growth and Capacity</t>
  </si>
  <si>
    <t>Tuition Parity</t>
  </si>
  <si>
    <t>Degree-granting Priorities</t>
  </si>
  <si>
    <t>Performance</t>
  </si>
  <si>
    <t>Faculty Promotion and Tenure</t>
  </si>
  <si>
    <t>Systemwide</t>
  </si>
  <si>
    <t>Above/
(Below) USHE</t>
  </si>
  <si>
    <t>USHE</t>
  </si>
  <si>
    <t>Subtotal - One-time Adjustments</t>
  </si>
  <si>
    <t>Civic Thought and Leadership Initiative</t>
  </si>
  <si>
    <t>Governor</t>
  </si>
  <si>
    <t>Legislative Appropriations</t>
  </si>
  <si>
    <t>2022-23 Operating Budget Comparison (Tax Funds Only)</t>
  </si>
  <si>
    <t>Technical Education Equipment</t>
  </si>
  <si>
    <t>Mental Health</t>
  </si>
  <si>
    <t>Statewide Online Education</t>
  </si>
  <si>
    <t>Statewide Advocacy and Awareness Campaign</t>
  </si>
  <si>
    <t>Shared Services Consultant for Implementation</t>
  </si>
  <si>
    <t>Veterinary School Planning, Programming and Design</t>
  </si>
  <si>
    <t>Dixie Name Change</t>
  </si>
  <si>
    <t>Civics Education</t>
  </si>
  <si>
    <t>1.0% Dental Insurance</t>
  </si>
  <si>
    <t>6.7% Health Insurance</t>
  </si>
  <si>
    <t>Talent Ready Apprenticeship Connection</t>
  </si>
  <si>
    <t>Operations and Maintenance Reduction for Uncomplete Buildings</t>
  </si>
  <si>
    <t>DRAFT</t>
  </si>
  <si>
    <t>Internal Service Fund (AG, fleet, risk management)</t>
  </si>
  <si>
    <t>Expanding Rural Community College Access and Prgm.</t>
  </si>
  <si>
    <t>February 10, 2022</t>
  </si>
  <si>
    <t>Higher Education Appropriations Subcomittee</t>
  </si>
  <si>
    <t>5% Cost of Living or Labor Market Increase</t>
  </si>
  <si>
    <t>Governor's salary increase represents 3.5%</t>
  </si>
  <si>
    <t>Rural Recruitment of Utah Dental Students</t>
  </si>
  <si>
    <t>Occupational Health and Safety Training</t>
  </si>
  <si>
    <t>Healthcare Workforce Initiative</t>
  </si>
  <si>
    <t>Alzheimer's and Dementia Research Center</t>
  </si>
  <si>
    <t>Mental Health Service Provider Training</t>
  </si>
  <si>
    <t>SLCC PACE Program Scholarships</t>
  </si>
  <si>
    <t>Learn and Work in Utah Expansion</t>
  </si>
  <si>
    <t>Workforce Development Transition into Tech Careers</t>
  </si>
  <si>
    <t>Utah Innovation Lab</t>
  </si>
  <si>
    <t>Olene Walker VOTE Certification Course</t>
  </si>
  <si>
    <t>History of Women Legislators in Utah 1994-Present</t>
  </si>
  <si>
    <t>Community College Service</t>
  </si>
  <si>
    <t>Emergency Communications Equipment</t>
  </si>
  <si>
    <t>Lab Equipment Upgrade and Expansion</t>
  </si>
  <si>
    <t>Reengagement Scholarships</t>
  </si>
  <si>
    <t>Community Sustainability Center</t>
  </si>
  <si>
    <t>Utah System of Higher Education request as compared to Governor and Higher Education Appropriations Subcommittee</t>
  </si>
  <si>
    <t>Edit Bowen Chart School O&amp;M</t>
  </si>
  <si>
    <t>Utah Tech University</t>
  </si>
  <si>
    <t>Internal Service Fund</t>
  </si>
  <si>
    <t>Reallocations</t>
  </si>
  <si>
    <t>Utah Summer Games</t>
  </si>
  <si>
    <t>Utah Rural Leadership Academy</t>
  </si>
  <si>
    <t>Performance Funding</t>
  </si>
  <si>
    <t>Operation &amp; Maintenance Adjustment</t>
  </si>
  <si>
    <t>Governor's Recommendation</t>
  </si>
  <si>
    <t>March 2023</t>
  </si>
  <si>
    <t>2021-22</t>
  </si>
  <si>
    <t>2022-23</t>
  </si>
  <si>
    <t>2023-24</t>
  </si>
  <si>
    <t>Available June 2023</t>
  </si>
  <si>
    <t>Total</t>
  </si>
  <si>
    <t>UBHE Statewide Programs &amp; Adm*</t>
  </si>
  <si>
    <t>Institution</t>
  </si>
  <si>
    <t>Southern Utah Museum of Art</t>
  </si>
  <si>
    <t>Janet Quinney Lawson Institute for Land, Water, and Air</t>
  </si>
  <si>
    <t>Support for Medical and Community Service Interpretation</t>
  </si>
  <si>
    <t>Higher Education for Incarcerated Youth Program</t>
  </si>
  <si>
    <t>Law School Refugee Clinic</t>
  </si>
  <si>
    <t>UTU CSET and SUU Innovation Outreach</t>
  </si>
  <si>
    <t>Operations &amp; Maintenance (FY23)</t>
  </si>
  <si>
    <t>Higher Education Funding Amendments</t>
  </si>
  <si>
    <t>Higher Education Governance Amendments</t>
  </si>
  <si>
    <t>Utah Data Research Center Amendments</t>
  </si>
  <si>
    <t>Center for Medical Cannabis Research</t>
  </si>
  <si>
    <t>Utah Medical Education Council</t>
  </si>
  <si>
    <t>Uintah Basin Air Quality Research</t>
  </si>
  <si>
    <t>Talent Ready Connections</t>
  </si>
  <si>
    <t>Snow College Social Science Classroom &amp; Lab Bldg O&amp;M</t>
  </si>
  <si>
    <t>Equal Opportunity Initiatives</t>
  </si>
  <si>
    <t>Technical College Equipment</t>
  </si>
  <si>
    <t>Medical School Expansion</t>
  </si>
  <si>
    <t>Utah Forest Restoration Institute</t>
  </si>
  <si>
    <t>Utah-MEP Alliance Funding</t>
  </si>
  <si>
    <t>Educating High-Temperature Materials Engineers for Hypersonics</t>
  </si>
  <si>
    <t>Math Foundations</t>
  </si>
  <si>
    <t>Rural Student Scholarship Initiative</t>
  </si>
  <si>
    <t>Shared Access and Outreach for Technical Careers</t>
  </si>
  <si>
    <t>Cultural Tourism Stabilization</t>
  </si>
  <si>
    <t>Higher Education Course - Abuse Defense</t>
  </si>
  <si>
    <t>Higher Education General Reductions</t>
  </si>
  <si>
    <t>Ogden Weber Technical College O&amp;M</t>
  </si>
  <si>
    <t>Huntsman Cancer Institute Vineyard Cancer Research O&amp;M</t>
  </si>
  <si>
    <t>2024-25 Operating Budget (New Tax Funds Only)</t>
  </si>
  <si>
    <t>Operation &amp; Maintenance Adjustment (FY24)</t>
  </si>
  <si>
    <t>Life Science Workforce Initiative</t>
  </si>
  <si>
    <t>Northstar Enterprise System (FY24)</t>
  </si>
  <si>
    <t>Technical College Attorney General</t>
  </si>
  <si>
    <t>USHE Commercialization Shared Service</t>
  </si>
  <si>
    <t>USHE Marine Sciences Laboratory Partnership</t>
  </si>
  <si>
    <t>Utah Fire &amp; Rescue Academy-Mobile ARFF Training Prop</t>
  </si>
  <si>
    <t>Jobs CEO Council</t>
  </si>
  <si>
    <t>Digital Forensics Crime Lab Expansion</t>
  </si>
  <si>
    <t>Statewide Energy Education &amp; Workforce Initiative</t>
  </si>
  <si>
    <t>2024-25 Tax Fund Appropriations by Institution</t>
  </si>
  <si>
    <t>2024-25 Adjusted Beginning Base Budget</t>
  </si>
  <si>
    <t>2024-25
Ongoing Changes</t>
  </si>
  <si>
    <t>2024-25
One-time Changes</t>
  </si>
  <si>
    <t>2024-25
Total Changes</t>
  </si>
  <si>
    <t>2024-25
Operating Budget</t>
  </si>
  <si>
    <t>Adjusted Beginning Base Budget Tax Fund Expenditures</t>
  </si>
  <si>
    <t xml:space="preserve">*Increases for Utah Board of Higher Education Statewide Programs will directly flow to institutions or students </t>
  </si>
  <si>
    <t>3% Discretionary</t>
  </si>
  <si>
    <t>7.2% Health, 0.9% Dental Insurance</t>
  </si>
  <si>
    <t xml:space="preserve">     Performance - Earned to Institutions</t>
  </si>
  <si>
    <t>Total Appropriation (Ongoing and one-time)</t>
  </si>
  <si>
    <t>Subtotal - USHE Priority Ongoing Adjustments</t>
  </si>
  <si>
    <t>Application Fee Waiver (FY24)</t>
  </si>
  <si>
    <t>SUU Land Bank-HWY 56 Phoenix Plaza O&amp;M (HB3)</t>
  </si>
  <si>
    <t>Prime Expansion</t>
  </si>
  <si>
    <t>Western Heritage Sustainability</t>
  </si>
  <si>
    <t>Utah Innovation Lab (FY24)</t>
  </si>
  <si>
    <t>Utah-MEP Alliance</t>
  </si>
  <si>
    <t>Gary R. Herbert Policy Institute</t>
  </si>
  <si>
    <t>Presidential Debate</t>
  </si>
  <si>
    <t>March 5, 2024</t>
  </si>
  <si>
    <t>Performance Funding (Restricted Account Unearned)</t>
  </si>
  <si>
    <t>2025-26 Operating Budget Comparison (Tax Funds Only)</t>
  </si>
  <si>
    <t>Utah System of Higher Education request as compared to the Governor</t>
  </si>
  <si>
    <t>Above/
(Below)</t>
  </si>
  <si>
    <t>Technical College New Dedicated &amp; Non-Dedicated Programming</t>
  </si>
  <si>
    <t>Talent Ready Utah Engineering and Computer Science Initiative</t>
  </si>
  <si>
    <t>2023 &amp; 2024 GS Performance Funding Recoveries</t>
  </si>
  <si>
    <t>Talent Ready Utah PRIME Expansion</t>
  </si>
  <si>
    <t>Technical Education</t>
  </si>
  <si>
    <t>Degree-granting</t>
  </si>
  <si>
    <t>New Programming</t>
  </si>
  <si>
    <t>2.5% COLA</t>
  </si>
  <si>
    <t>5.0% Health Insurance</t>
  </si>
  <si>
    <t>6.9% Dental Insurance</t>
  </si>
  <si>
    <t>Performance Funding Restricted Account</t>
  </si>
  <si>
    <t>Fuel &amp; Power</t>
  </si>
  <si>
    <t>December 6, 2024</t>
  </si>
  <si>
    <t xml:space="preserve">Utah Academic Library Consortium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</si>
</sst>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"/>
    <numFmt numFmtId="167" formatCode="#,##0.0_);\(#,##0.0\)"/>
  </numFmts>
  <fonts count="83" x14ac:knownFonts="1"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6"/>
      <name val="Arial Narrow"/>
      <family val="2"/>
    </font>
    <font>
      <b/>
      <i/>
      <sz val="11"/>
      <name val="Arial Narrow"/>
      <family val="2"/>
    </font>
    <font>
      <sz val="10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i/>
      <sz val="28"/>
      <name val="Arial Narrow"/>
      <family val="2"/>
    </font>
    <font>
      <b/>
      <sz val="10"/>
      <name val="Arial Narrow"/>
      <family val="2"/>
    </font>
    <font>
      <vertAlign val="superscript"/>
      <sz val="12"/>
      <name val="Arial Narrow"/>
      <family val="2"/>
    </font>
    <font>
      <b/>
      <i/>
      <u/>
      <sz val="10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sz val="8"/>
      <name val="Arial Narrow"/>
      <family val="2"/>
    </font>
    <font>
      <b/>
      <i/>
      <sz val="10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1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vertAlign val="superscript"/>
      <sz val="11"/>
      <name val="Arial Narrow"/>
      <family val="2"/>
    </font>
    <font>
      <b/>
      <sz val="2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indexed="12"/>
      <name val="Arial Narrow"/>
      <family val="2"/>
    </font>
    <font>
      <b/>
      <i/>
      <sz val="18"/>
      <color indexed="12"/>
      <name val="Arial Narrow"/>
      <family val="2"/>
    </font>
    <font>
      <i/>
      <sz val="12"/>
      <name val="Arial Narrow"/>
      <family val="2"/>
    </font>
    <font>
      <sz val="10"/>
      <name val="Trebuchet MS"/>
      <family val="2"/>
    </font>
    <font>
      <b/>
      <sz val="20"/>
      <color rgb="FF00B0F0"/>
      <name val="Arial Narrow"/>
      <family val="2"/>
    </font>
    <font>
      <sz val="10"/>
      <name val="Trebuchet MS"/>
      <family val="2"/>
    </font>
    <font>
      <sz val="10"/>
      <color rgb="FFFF0000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b/>
      <sz val="14"/>
      <color rgb="FFFF0000"/>
      <name val="Arial Narrow"/>
      <family val="2"/>
    </font>
    <font>
      <sz val="10"/>
      <name val="Trebuchet MS"/>
      <family val="2"/>
    </font>
    <font>
      <sz val="8"/>
      <color rgb="FFFF0000"/>
      <name val="Arial Narrow"/>
      <family val="2"/>
    </font>
    <font>
      <b/>
      <sz val="8"/>
      <color theme="0"/>
      <name val="Arial Narrow"/>
      <family val="2"/>
    </font>
    <font>
      <vertAlign val="superscript"/>
      <sz val="11"/>
      <color rgb="FFFF0000"/>
      <name val="Arial Narrow"/>
      <family val="2"/>
    </font>
    <font>
      <sz val="10"/>
      <name val="Trebuchet MS"/>
      <family val="2"/>
    </font>
    <font>
      <b/>
      <sz val="12"/>
      <color rgb="FF00B0F0"/>
      <name val="Arial Narrow"/>
      <family val="2"/>
    </font>
    <font>
      <sz val="9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name val="Arial Narrow"/>
      <family val="2"/>
    </font>
    <font>
      <b/>
      <sz val="22"/>
      <color rgb="FFFF0000"/>
      <name val="Arial Narrow"/>
      <family val="2"/>
    </font>
    <font>
      <sz val="10"/>
      <name val="Trebuchet MS"/>
      <family val="2"/>
    </font>
    <font>
      <sz val="10"/>
      <name val="Trebuchet MS"/>
      <family val="2"/>
    </font>
    <font>
      <b/>
      <sz val="12"/>
      <color rgb="FFFF0000"/>
      <name val="Arial Narrow"/>
      <family val="2"/>
    </font>
    <font>
      <sz val="10"/>
      <name val="Trebuchet MS"/>
      <family val="2"/>
    </font>
    <font>
      <sz val="8"/>
      <color rgb="FFFF0000"/>
      <name val="Calibri"/>
      <family val="2"/>
      <scheme val="minor"/>
    </font>
    <font>
      <sz val="8"/>
      <color theme="0"/>
      <name val="Arial Narrow"/>
      <family val="2"/>
    </font>
    <font>
      <sz val="11"/>
      <name val="Calibri"/>
      <family val="2"/>
      <scheme val="minor"/>
    </font>
    <font>
      <b/>
      <sz val="18"/>
      <color rgb="FFFF0000"/>
      <name val="Arial Narrow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2">
    <xf numFmtId="0" fontId="0" fillId="0" borderId="0"/>
    <xf numFmtId="9" fontId="27" fillId="0" borderId="0" applyFont="0" applyFill="0" applyBorder="0" applyAlignment="0" applyProtection="0"/>
    <xf numFmtId="3" fontId="43" fillId="2" borderId="0" applyFont="0" applyFill="0" applyBorder="0" applyAlignment="0" applyProtection="0"/>
    <xf numFmtId="5" fontId="43" fillId="2" borderId="0" applyFont="0" applyFill="0" applyBorder="0" applyAlignment="0" applyProtection="0"/>
    <xf numFmtId="0" fontId="43" fillId="2" borderId="0" applyFont="0" applyFill="0" applyBorder="0" applyAlignment="0" applyProtection="0"/>
    <xf numFmtId="2" fontId="43" fillId="2" borderId="0" applyFont="0" applyFill="0" applyBorder="0" applyAlignment="0" applyProtection="0"/>
    <xf numFmtId="0" fontId="44" fillId="2" borderId="0" applyFont="0" applyFill="0" applyBorder="0" applyAlignment="0" applyProtection="0"/>
    <xf numFmtId="0" fontId="45" fillId="2" borderId="0" applyFont="0" applyFill="0" applyBorder="0" applyAlignment="0" applyProtection="0"/>
    <xf numFmtId="0" fontId="43" fillId="2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4" fillId="2" borderId="0" applyFont="0" applyFill="0" applyBorder="0" applyAlignment="0" applyProtection="0"/>
    <xf numFmtId="0" fontId="45" fillId="2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9" fontId="46" fillId="0" borderId="0" applyFont="0" applyFill="0" applyBorder="0" applyAlignment="0" applyProtection="0"/>
    <xf numFmtId="10" fontId="43" fillId="2" borderId="0" applyFont="0" applyFill="0" applyBorder="0" applyAlignment="0" applyProtection="0"/>
    <xf numFmtId="10" fontId="43" fillId="2" borderId="0" applyFont="0" applyFill="0" applyBorder="0" applyAlignment="0" applyProtection="0"/>
    <xf numFmtId="0" fontId="43" fillId="2" borderId="0" applyFont="0" applyFill="0" applyBorder="0" applyAlignment="0" applyProtection="0"/>
    <xf numFmtId="0" fontId="57" fillId="0" borderId="0"/>
    <xf numFmtId="0" fontId="27" fillId="0" borderId="0"/>
    <xf numFmtId="0" fontId="26" fillId="0" borderId="0"/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64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0" borderId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75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7">
    <xf numFmtId="0" fontId="0" fillId="0" borderId="0" xfId="0"/>
    <xf numFmtId="37" fontId="28" fillId="0" borderId="1" xfId="0" applyNumberFormat="1" applyFont="1" applyBorder="1" applyAlignment="1">
      <alignment horizontal="left"/>
    </xf>
    <xf numFmtId="37" fontId="29" fillId="0" borderId="1" xfId="0" quotePrefix="1" applyNumberFormat="1" applyFont="1" applyBorder="1" applyAlignment="1">
      <alignment horizontal="right"/>
    </xf>
    <xf numFmtId="37" fontId="30" fillId="0" borderId="0" xfId="0" applyNumberFormat="1" applyFont="1"/>
    <xf numFmtId="37" fontId="31" fillId="0" borderId="0" xfId="0" applyNumberFormat="1" applyFont="1" applyAlignment="1">
      <alignment horizontal="left"/>
    </xf>
    <xf numFmtId="37" fontId="32" fillId="0" borderId="0" xfId="0" applyNumberFormat="1" applyFont="1" applyAlignment="1">
      <alignment horizontal="left"/>
    </xf>
    <xf numFmtId="37" fontId="33" fillId="0" borderId="0" xfId="0" applyNumberFormat="1" applyFont="1"/>
    <xf numFmtId="37" fontId="30" fillId="0" borderId="0" xfId="0" applyNumberFormat="1" applyFont="1" applyFill="1" applyBorder="1"/>
    <xf numFmtId="38" fontId="34" fillId="0" borderId="0" xfId="0" applyNumberFormat="1" applyFont="1" applyFill="1" applyBorder="1" applyAlignment="1">
      <alignment horizontal="center"/>
    </xf>
    <xf numFmtId="37" fontId="30" fillId="0" borderId="0" xfId="0" applyNumberFormat="1" applyFont="1" applyBorder="1"/>
    <xf numFmtId="37" fontId="30" fillId="0" borderId="2" xfId="0" applyNumberFormat="1" applyFont="1" applyBorder="1"/>
    <xf numFmtId="37" fontId="30" fillId="0" borderId="3" xfId="0" applyNumberFormat="1" applyFont="1" applyBorder="1"/>
    <xf numFmtId="38" fontId="34" fillId="0" borderId="3" xfId="0" applyNumberFormat="1" applyFont="1" applyFill="1" applyBorder="1" applyAlignment="1">
      <alignment horizontal="center"/>
    </xf>
    <xf numFmtId="38" fontId="34" fillId="0" borderId="4" xfId="0" applyNumberFormat="1" applyFont="1" applyFill="1" applyBorder="1" applyAlignment="1">
      <alignment horizontal="center"/>
    </xf>
    <xf numFmtId="37" fontId="30" fillId="0" borderId="5" xfId="0" applyNumberFormat="1" applyFont="1" applyFill="1" applyBorder="1"/>
    <xf numFmtId="37" fontId="32" fillId="0" borderId="0" xfId="0" applyNumberFormat="1" applyFont="1" applyFill="1" applyBorder="1"/>
    <xf numFmtId="5" fontId="35" fillId="0" borderId="6" xfId="0" applyNumberFormat="1" applyFont="1" applyFill="1" applyBorder="1" applyAlignment="1">
      <alignment horizontal="center"/>
    </xf>
    <xf numFmtId="37" fontId="33" fillId="0" borderId="0" xfId="0" applyNumberFormat="1" applyFont="1" applyFill="1" applyBorder="1"/>
    <xf numFmtId="5" fontId="35" fillId="0" borderId="6" xfId="0" applyNumberFormat="1" applyFont="1" applyFill="1" applyBorder="1" applyAlignment="1">
      <alignment horizontal="center" wrapText="1"/>
    </xf>
    <xf numFmtId="37" fontId="35" fillId="0" borderId="0" xfId="0" applyNumberFormat="1" applyFont="1" applyFill="1" applyBorder="1" applyAlignment="1">
      <alignment horizontal="center" wrapText="1"/>
    </xf>
    <xf numFmtId="37" fontId="33" fillId="0" borderId="7" xfId="0" applyNumberFormat="1" applyFont="1" applyFill="1" applyBorder="1"/>
    <xf numFmtId="37" fontId="30" fillId="0" borderId="7" xfId="0" applyNumberFormat="1" applyFont="1" applyFill="1" applyBorder="1"/>
    <xf numFmtId="37" fontId="36" fillId="0" borderId="0" xfId="0" quotePrefix="1" applyNumberFormat="1" applyFont="1" applyFill="1" applyBorder="1"/>
    <xf numFmtId="164" fontId="33" fillId="0" borderId="0" xfId="1" applyNumberFormat="1" applyFont="1" applyFill="1" applyBorder="1"/>
    <xf numFmtId="37" fontId="30" fillId="0" borderId="10" xfId="0" applyNumberFormat="1" applyFont="1" applyFill="1" applyBorder="1"/>
    <xf numFmtId="37" fontId="30" fillId="0" borderId="11" xfId="0" applyNumberFormat="1" applyFont="1" applyFill="1" applyBorder="1"/>
    <xf numFmtId="37" fontId="30" fillId="0" borderId="12" xfId="0" applyNumberFormat="1" applyFont="1" applyFill="1" applyBorder="1"/>
    <xf numFmtId="37" fontId="35" fillId="0" borderId="0" xfId="0" applyNumberFormat="1" applyFont="1"/>
    <xf numFmtId="37" fontId="37" fillId="0" borderId="0" xfId="0" applyNumberFormat="1" applyFont="1"/>
    <xf numFmtId="37" fontId="38" fillId="0" borderId="0" xfId="0" applyNumberFormat="1" applyFont="1"/>
    <xf numFmtId="37" fontId="39" fillId="0" borderId="0" xfId="0" applyNumberFormat="1" applyFont="1"/>
    <xf numFmtId="5" fontId="38" fillId="0" borderId="0" xfId="0" applyNumberFormat="1" applyFont="1" applyFill="1" applyBorder="1"/>
    <xf numFmtId="5" fontId="38" fillId="0" borderId="9" xfId="0" applyNumberFormat="1" applyFont="1" applyBorder="1"/>
    <xf numFmtId="37" fontId="40" fillId="0" borderId="0" xfId="0" applyNumberFormat="1" applyFont="1"/>
    <xf numFmtId="5" fontId="38" fillId="0" borderId="0" xfId="0" applyNumberFormat="1" applyFont="1" applyBorder="1"/>
    <xf numFmtId="37" fontId="38" fillId="0" borderId="0" xfId="0" applyNumberFormat="1" applyFont="1" applyFill="1" applyBorder="1"/>
    <xf numFmtId="164" fontId="33" fillId="0" borderId="0" xfId="0" applyNumberFormat="1" applyFont="1" applyFill="1" applyBorder="1"/>
    <xf numFmtId="3" fontId="42" fillId="0" borderId="1" xfId="2" applyFont="1" applyFill="1" applyBorder="1" applyAlignment="1">
      <alignment horizontal="left"/>
    </xf>
    <xf numFmtId="3" fontId="41" fillId="0" borderId="1" xfId="2" quotePrefix="1" applyFont="1" applyFill="1" applyBorder="1" applyAlignment="1">
      <alignment horizontal="right"/>
    </xf>
    <xf numFmtId="0" fontId="38" fillId="3" borderId="16" xfId="13" applyFont="1" applyFill="1" applyBorder="1" applyAlignment="1">
      <alignment horizontal="center"/>
    </xf>
    <xf numFmtId="0" fontId="38" fillId="3" borderId="16" xfId="13" quotePrefix="1" applyFont="1" applyFill="1" applyBorder="1" applyAlignment="1">
      <alignment horizontal="center"/>
    </xf>
    <xf numFmtId="0" fontId="38" fillId="0" borderId="17" xfId="13" quotePrefix="1" applyFont="1" applyFill="1" applyBorder="1" applyAlignment="1">
      <alignment horizontal="center"/>
    </xf>
    <xf numFmtId="0" fontId="39" fillId="0" borderId="0" xfId="13" applyFont="1" applyFill="1" applyBorder="1" applyAlignment="1">
      <alignment horizontal="center"/>
    </xf>
    <xf numFmtId="0" fontId="30" fillId="4" borderId="0" xfId="13" applyFont="1" applyFill="1" applyBorder="1" applyAlignment="1">
      <alignment horizontal="center" wrapText="1"/>
    </xf>
    <xf numFmtId="0" fontId="47" fillId="3" borderId="16" xfId="13" applyFont="1" applyFill="1" applyBorder="1" applyAlignment="1">
      <alignment horizontal="center" wrapText="1"/>
    </xf>
    <xf numFmtId="0" fontId="30" fillId="5" borderId="0" xfId="13" applyFont="1" applyFill="1" applyBorder="1" applyAlignment="1">
      <alignment horizontal="center" wrapText="1"/>
    </xf>
    <xf numFmtId="0" fontId="47" fillId="0" borderId="17" xfId="13" applyFont="1" applyFill="1" applyBorder="1" applyAlignment="1">
      <alignment horizontal="center" wrapText="1"/>
    </xf>
    <xf numFmtId="0" fontId="30" fillId="0" borderId="0" xfId="13" applyFont="1" applyFill="1" applyBorder="1" applyAlignment="1">
      <alignment horizontal="center" wrapText="1"/>
    </xf>
    <xf numFmtId="0" fontId="30" fillId="3" borderId="16" xfId="13" applyFont="1" applyFill="1" applyBorder="1" applyAlignment="1">
      <alignment horizontal="center" wrapText="1"/>
    </xf>
    <xf numFmtId="0" fontId="30" fillId="0" borderId="17" xfId="13" applyFont="1" applyFill="1" applyBorder="1" applyAlignment="1">
      <alignment horizontal="center" wrapText="1"/>
    </xf>
    <xf numFmtId="0" fontId="30" fillId="0" borderId="16" xfId="13" applyFont="1" applyFill="1" applyBorder="1" applyAlignment="1">
      <alignment horizontal="center" wrapText="1"/>
    </xf>
    <xf numFmtId="0" fontId="33" fillId="0" borderId="0" xfId="13" applyFont="1" applyFill="1" applyBorder="1" applyAlignment="1">
      <alignment horizontal="center" wrapText="1"/>
    </xf>
    <xf numFmtId="3" fontId="33" fillId="0" borderId="0" xfId="2" applyFont="1" applyFill="1" applyBorder="1" applyAlignment="1">
      <alignment horizontal="left"/>
    </xf>
    <xf numFmtId="3" fontId="32" fillId="0" borderId="0" xfId="2" applyFont="1" applyFill="1" applyBorder="1" applyAlignment="1">
      <alignment horizontal="left"/>
    </xf>
    <xf numFmtId="3" fontId="31" fillId="0" borderId="0" xfId="2" applyFont="1" applyFill="1" applyBorder="1" applyAlignment="1">
      <alignment horizontal="left"/>
    </xf>
    <xf numFmtId="0" fontId="28" fillId="0" borderId="0" xfId="14" applyFont="1" applyFill="1" applyAlignment="1">
      <alignment horizontal="left"/>
    </xf>
    <xf numFmtId="0" fontId="30" fillId="0" borderId="0" xfId="14" applyFont="1" applyFill="1" applyAlignment="1"/>
    <xf numFmtId="0" fontId="42" fillId="0" borderId="0" xfId="14" applyFont="1" applyFill="1" applyAlignment="1">
      <alignment horizontal="left"/>
    </xf>
    <xf numFmtId="0" fontId="35" fillId="0" borderId="0" xfId="14" applyFont="1" applyFill="1" applyAlignment="1"/>
    <xf numFmtId="5" fontId="35" fillId="0" borderId="0" xfId="3" applyFont="1" applyFill="1"/>
    <xf numFmtId="164" fontId="35" fillId="0" borderId="0" xfId="17" applyNumberFormat="1" applyFont="1" applyFill="1" applyAlignment="1">
      <alignment horizontal="centerContinuous"/>
    </xf>
    <xf numFmtId="0" fontId="47" fillId="0" borderId="0" xfId="14" applyFont="1" applyFill="1" applyAlignment="1"/>
    <xf numFmtId="164" fontId="47" fillId="0" borderId="0" xfId="17" applyNumberFormat="1" applyFont="1" applyFill="1" applyAlignment="1">
      <alignment horizontal="center"/>
    </xf>
    <xf numFmtId="0" fontId="47" fillId="0" borderId="0" xfId="14" applyFont="1" applyFill="1" applyBorder="1" applyAlignment="1"/>
    <xf numFmtId="164" fontId="47" fillId="0" borderId="6" xfId="17" applyNumberFormat="1" applyFont="1" applyFill="1" applyBorder="1" applyAlignment="1">
      <alignment horizontal="center"/>
    </xf>
    <xf numFmtId="0" fontId="47" fillId="0" borderId="0" xfId="14" applyFont="1" applyFill="1" applyAlignment="1">
      <alignment horizontal="centerContinuous"/>
    </xf>
    <xf numFmtId="5" fontId="47" fillId="0" borderId="0" xfId="3" applyFont="1" applyFill="1"/>
    <xf numFmtId="0" fontId="29" fillId="0" borderId="0" xfId="14" applyFont="1" applyFill="1" applyAlignment="1">
      <alignment horizontal="left"/>
    </xf>
    <xf numFmtId="164" fontId="47" fillId="0" borderId="0" xfId="14" applyNumberFormat="1" applyFont="1" applyFill="1" applyAlignment="1"/>
    <xf numFmtId="5" fontId="47" fillId="0" borderId="0" xfId="3" applyFont="1" applyFill="1" applyAlignment="1">
      <alignment horizontal="right"/>
    </xf>
    <xf numFmtId="0" fontId="47" fillId="0" borderId="0" xfId="14" applyFont="1" applyFill="1" applyAlignment="1">
      <alignment horizontal="left"/>
    </xf>
    <xf numFmtId="164" fontId="47" fillId="0" borderId="0" xfId="17" applyNumberFormat="1" applyFont="1" applyFill="1" applyAlignment="1">
      <alignment horizontal="centerContinuous"/>
    </xf>
    <xf numFmtId="0" fontId="47" fillId="0" borderId="0" xfId="17" applyNumberFormat="1" applyFont="1" applyFill="1"/>
    <xf numFmtId="0" fontId="47" fillId="7" borderId="0" xfId="14" applyFont="1" applyFill="1" applyAlignment="1"/>
    <xf numFmtId="0" fontId="47" fillId="0" borderId="0" xfId="14" applyFont="1" applyFill="1" applyAlignment="1">
      <alignment wrapText="1"/>
    </xf>
    <xf numFmtId="0" fontId="38" fillId="0" borderId="0" xfId="14" applyFont="1" applyFill="1" applyAlignment="1"/>
    <xf numFmtId="5" fontId="40" fillId="0" borderId="0" xfId="3" applyFont="1" applyFill="1"/>
    <xf numFmtId="0" fontId="40" fillId="0" borderId="0" xfId="14" applyFont="1" applyFill="1" applyAlignment="1"/>
    <xf numFmtId="164" fontId="40" fillId="0" borderId="0" xfId="17" applyNumberFormat="1" applyFont="1" applyFill="1" applyAlignment="1">
      <alignment horizontal="center"/>
    </xf>
    <xf numFmtId="5" fontId="47" fillId="0" borderId="0" xfId="14" applyNumberFormat="1" applyFont="1" applyFill="1" applyAlignment="1"/>
    <xf numFmtId="3" fontId="35" fillId="0" borderId="6" xfId="2" applyFont="1" applyFill="1" applyBorder="1" applyAlignment="1">
      <alignment horizontal="left"/>
    </xf>
    <xf numFmtId="3" fontId="32" fillId="0" borderId="11" xfId="2" applyFont="1" applyFill="1" applyBorder="1" applyAlignment="1">
      <alignment horizontal="left"/>
    </xf>
    <xf numFmtId="0" fontId="33" fillId="0" borderId="0" xfId="13" applyFont="1" applyFill="1" applyBorder="1" applyAlignment="1"/>
    <xf numFmtId="0" fontId="33" fillId="6" borderId="0" xfId="13" applyFont="1" applyFill="1" applyBorder="1" applyAlignment="1"/>
    <xf numFmtId="5" fontId="33" fillId="6" borderId="0" xfId="13" applyNumberFormat="1" applyFont="1" applyFill="1" applyBorder="1" applyAlignment="1"/>
    <xf numFmtId="37" fontId="33" fillId="6" borderId="0" xfId="13" applyNumberFormat="1" applyFont="1" applyFill="1" applyBorder="1" applyAlignment="1"/>
    <xf numFmtId="164" fontId="33" fillId="6" borderId="0" xfId="16" applyNumberFormat="1" applyFont="1" applyFill="1" applyBorder="1" applyAlignment="1"/>
    <xf numFmtId="164" fontId="33" fillId="6" borderId="0" xfId="15" applyNumberFormat="1" applyFont="1" applyFill="1" applyBorder="1" applyAlignment="1"/>
    <xf numFmtId="37" fontId="33" fillId="0" borderId="0" xfId="13" applyNumberFormat="1" applyFont="1" applyFill="1" applyBorder="1" applyAlignment="1"/>
    <xf numFmtId="5" fontId="33" fillId="0" borderId="0" xfId="13" applyNumberFormat="1" applyFont="1" applyFill="1" applyBorder="1" applyAlignment="1"/>
    <xf numFmtId="37" fontId="33" fillId="4" borderId="0" xfId="13" applyNumberFormat="1" applyFont="1" applyFill="1" applyBorder="1" applyAlignment="1"/>
    <xf numFmtId="37" fontId="33" fillId="3" borderId="0" xfId="13" applyNumberFormat="1" applyFont="1" applyFill="1" applyBorder="1" applyAlignment="1"/>
    <xf numFmtId="37" fontId="33" fillId="5" borderId="0" xfId="13" applyNumberFormat="1" applyFont="1" applyFill="1" applyBorder="1" applyAlignment="1"/>
    <xf numFmtId="10" fontId="33" fillId="0" borderId="0" xfId="16" applyFont="1" applyFill="1" applyBorder="1" applyAlignment="1"/>
    <xf numFmtId="164" fontId="33" fillId="0" borderId="0" xfId="16" applyNumberFormat="1" applyFont="1" applyFill="1" applyBorder="1" applyAlignment="1"/>
    <xf numFmtId="164" fontId="33" fillId="0" borderId="0" xfId="15" applyNumberFormat="1" applyFont="1" applyFill="1" applyBorder="1" applyAlignment="1"/>
    <xf numFmtId="10" fontId="33" fillId="6" borderId="0" xfId="16" applyFont="1" applyFill="1" applyBorder="1" applyAlignment="1"/>
    <xf numFmtId="0" fontId="30" fillId="0" borderId="1" xfId="13" applyFont="1" applyFill="1" applyBorder="1" applyAlignment="1"/>
    <xf numFmtId="0" fontId="30" fillId="3" borderId="1" xfId="13" applyFont="1" applyFill="1" applyBorder="1" applyAlignment="1"/>
    <xf numFmtId="0" fontId="30" fillId="0" borderId="0" xfId="13" applyFont="1" applyFill="1" applyBorder="1" applyAlignment="1"/>
    <xf numFmtId="0" fontId="35" fillId="8" borderId="15" xfId="13" applyFont="1" applyFill="1" applyBorder="1" applyAlignment="1"/>
    <xf numFmtId="0" fontId="33" fillId="4" borderId="0" xfId="13" applyFont="1" applyFill="1" applyBorder="1" applyAlignment="1"/>
    <xf numFmtId="0" fontId="33" fillId="3" borderId="0" xfId="13" applyFont="1" applyFill="1" applyBorder="1" applyAlignment="1"/>
    <xf numFmtId="0" fontId="33" fillId="5" borderId="0" xfId="13" applyFont="1" applyFill="1" applyBorder="1" applyAlignment="1"/>
    <xf numFmtId="0" fontId="30" fillId="4" borderId="0" xfId="13" applyFont="1" applyFill="1" applyBorder="1" applyAlignment="1"/>
    <xf numFmtId="0" fontId="30" fillId="5" borderId="0" xfId="13" applyFont="1" applyFill="1" applyBorder="1" applyAlignment="1"/>
    <xf numFmtId="0" fontId="48" fillId="0" borderId="0" xfId="13" applyFont="1" applyFill="1" applyBorder="1" applyAlignment="1"/>
    <xf numFmtId="0" fontId="48" fillId="5" borderId="0" xfId="13" applyFont="1" applyFill="1" applyBorder="1" applyAlignment="1"/>
    <xf numFmtId="0" fontId="48" fillId="4" borderId="0" xfId="13" applyFont="1" applyFill="1" applyBorder="1" applyAlignment="1"/>
    <xf numFmtId="0" fontId="47" fillId="0" borderId="0" xfId="13" applyFont="1" applyFill="1" applyBorder="1" applyAlignment="1"/>
    <xf numFmtId="0" fontId="32" fillId="0" borderId="0" xfId="13" applyFont="1" applyFill="1" applyBorder="1" applyAlignment="1"/>
    <xf numFmtId="164" fontId="33" fillId="0" borderId="0" xfId="13" applyNumberFormat="1" applyFont="1" applyFill="1" applyBorder="1" applyAlignment="1"/>
    <xf numFmtId="5" fontId="33" fillId="3" borderId="19" xfId="13" applyNumberFormat="1" applyFont="1" applyFill="1" applyBorder="1" applyAlignment="1"/>
    <xf numFmtId="5" fontId="33" fillId="0" borderId="19" xfId="13" applyNumberFormat="1" applyFont="1" applyFill="1" applyBorder="1" applyAlignment="1"/>
    <xf numFmtId="37" fontId="33" fillId="5" borderId="19" xfId="13" applyNumberFormat="1" applyFont="1" applyFill="1" applyBorder="1" applyAlignment="1"/>
    <xf numFmtId="37" fontId="33" fillId="4" borderId="19" xfId="13" applyNumberFormat="1" applyFont="1" applyFill="1" applyBorder="1" applyAlignment="1"/>
    <xf numFmtId="164" fontId="33" fillId="0" borderId="19" xfId="15" applyNumberFormat="1" applyFont="1" applyFill="1" applyBorder="1" applyAlignment="1"/>
    <xf numFmtId="37" fontId="33" fillId="0" borderId="19" xfId="13" applyNumberFormat="1" applyFont="1" applyFill="1" applyBorder="1" applyAlignment="1"/>
    <xf numFmtId="0" fontId="35" fillId="0" borderId="0" xfId="13" applyFont="1" applyFill="1" applyBorder="1" applyAlignment="1"/>
    <xf numFmtId="0" fontId="30" fillId="0" borderId="6" xfId="13" applyFont="1" applyFill="1" applyBorder="1" applyAlignment="1"/>
    <xf numFmtId="0" fontId="30" fillId="4" borderId="6" xfId="13" applyFont="1" applyFill="1" applyBorder="1" applyAlignment="1"/>
    <xf numFmtId="0" fontId="30" fillId="3" borderId="6" xfId="13" applyFont="1" applyFill="1" applyBorder="1" applyAlignment="1"/>
    <xf numFmtId="0" fontId="30" fillId="5" borderId="6" xfId="13" applyFont="1" applyFill="1" applyBorder="1" applyAlignment="1"/>
    <xf numFmtId="164" fontId="30" fillId="0" borderId="6" xfId="13" applyNumberFormat="1" applyFont="1" applyFill="1" applyBorder="1" applyAlignment="1"/>
    <xf numFmtId="5" fontId="30" fillId="0" borderId="0" xfId="13" applyNumberFormat="1" applyFont="1" applyFill="1" applyBorder="1" applyAlignment="1"/>
    <xf numFmtId="3" fontId="35" fillId="0" borderId="0" xfId="2" applyFont="1" applyFill="1" applyBorder="1" applyAlignment="1"/>
    <xf numFmtId="37" fontId="30" fillId="0" borderId="0" xfId="13" applyNumberFormat="1" applyFont="1" applyFill="1" applyBorder="1" applyAlignment="1"/>
    <xf numFmtId="3" fontId="30" fillId="0" borderId="0" xfId="13" applyNumberFormat="1" applyFont="1" applyFill="1" applyBorder="1" applyAlignment="1"/>
    <xf numFmtId="10" fontId="30" fillId="0" borderId="0" xfId="16" applyFont="1" applyFill="1" applyBorder="1" applyAlignment="1"/>
    <xf numFmtId="164" fontId="30" fillId="0" borderId="0" xfId="16" applyNumberFormat="1" applyFont="1" applyFill="1" applyBorder="1" applyAlignment="1"/>
    <xf numFmtId="164" fontId="30" fillId="0" borderId="0" xfId="15" applyNumberFormat="1" applyFont="1" applyFill="1" applyBorder="1" applyAlignment="1"/>
    <xf numFmtId="3" fontId="32" fillId="0" borderId="0" xfId="2" applyFont="1" applyFill="1" applyBorder="1" applyAlignment="1"/>
    <xf numFmtId="3" fontId="33" fillId="6" borderId="0" xfId="13" applyNumberFormat="1" applyFont="1" applyFill="1" applyBorder="1" applyAlignment="1"/>
    <xf numFmtId="5" fontId="33" fillId="3" borderId="0" xfId="13" applyNumberFormat="1" applyFont="1" applyFill="1" applyBorder="1" applyAlignment="1"/>
    <xf numFmtId="0" fontId="33" fillId="0" borderId="19" xfId="13" applyFont="1" applyFill="1" applyBorder="1" applyAlignment="1"/>
    <xf numFmtId="0" fontId="32" fillId="0" borderId="19" xfId="13" applyFont="1" applyFill="1" applyBorder="1" applyAlignment="1"/>
    <xf numFmtId="10" fontId="33" fillId="0" borderId="19" xfId="16" applyFont="1" applyFill="1" applyBorder="1" applyAlignment="1"/>
    <xf numFmtId="164" fontId="33" fillId="0" borderId="19" xfId="16" applyNumberFormat="1" applyFont="1" applyFill="1" applyBorder="1" applyAlignment="1"/>
    <xf numFmtId="0" fontId="33" fillId="0" borderId="11" xfId="13" applyFont="1" applyFill="1" applyBorder="1" applyAlignment="1"/>
    <xf numFmtId="5" fontId="33" fillId="0" borderId="11" xfId="13" applyNumberFormat="1" applyFont="1" applyFill="1" applyBorder="1" applyAlignment="1"/>
    <xf numFmtId="37" fontId="33" fillId="4" borderId="11" xfId="13" applyNumberFormat="1" applyFont="1" applyFill="1" applyBorder="1" applyAlignment="1"/>
    <xf numFmtId="5" fontId="33" fillId="3" borderId="11" xfId="13" applyNumberFormat="1" applyFont="1" applyFill="1" applyBorder="1" applyAlignment="1"/>
    <xf numFmtId="37" fontId="33" fillId="5" borderId="11" xfId="13" applyNumberFormat="1" applyFont="1" applyFill="1" applyBorder="1" applyAlignment="1"/>
    <xf numFmtId="37" fontId="33" fillId="0" borderId="11" xfId="13" applyNumberFormat="1" applyFont="1" applyFill="1" applyBorder="1" applyAlignment="1"/>
    <xf numFmtId="10" fontId="33" fillId="0" borderId="11" xfId="16" applyFont="1" applyFill="1" applyBorder="1" applyAlignment="1"/>
    <xf numFmtId="164" fontId="33" fillId="0" borderId="11" xfId="16" applyNumberFormat="1" applyFont="1" applyFill="1" applyBorder="1" applyAlignment="1"/>
    <xf numFmtId="0" fontId="49" fillId="0" borderId="0" xfId="13" applyFont="1" applyFill="1" applyBorder="1" applyAlignment="1"/>
    <xf numFmtId="37" fontId="49" fillId="0" borderId="0" xfId="13" applyNumberFormat="1" applyFont="1" applyFill="1" applyBorder="1" applyAlignment="1"/>
    <xf numFmtId="37" fontId="49" fillId="4" borderId="0" xfId="13" applyNumberFormat="1" applyFont="1" applyFill="1" applyBorder="1" applyAlignment="1"/>
    <xf numFmtId="37" fontId="49" fillId="3" borderId="0" xfId="13" applyNumberFormat="1" applyFont="1" applyFill="1" applyBorder="1" applyAlignment="1"/>
    <xf numFmtId="37" fontId="49" fillId="5" borderId="0" xfId="13" applyNumberFormat="1" applyFont="1" applyFill="1" applyBorder="1" applyAlignment="1"/>
    <xf numFmtId="0" fontId="30" fillId="3" borderId="0" xfId="13" applyFont="1" applyFill="1" applyBorder="1" applyAlignment="1"/>
    <xf numFmtId="0" fontId="54" fillId="0" borderId="15" xfId="13" applyFont="1" applyFill="1" applyBorder="1" applyAlignment="1"/>
    <xf numFmtId="0" fontId="55" fillId="0" borderId="15" xfId="13" applyFont="1" applyFill="1" applyBorder="1" applyAlignment="1"/>
    <xf numFmtId="164" fontId="33" fillId="0" borderId="11" xfId="13" applyNumberFormat="1" applyFont="1" applyFill="1" applyBorder="1" applyAlignment="1"/>
    <xf numFmtId="7" fontId="47" fillId="0" borderId="0" xfId="14" applyNumberFormat="1" applyFont="1" applyFill="1" applyAlignment="1"/>
    <xf numFmtId="5" fontId="47" fillId="0" borderId="0" xfId="3" applyFont="1" applyFill="1" applyBorder="1" applyAlignment="1"/>
    <xf numFmtId="37" fontId="30" fillId="0" borderId="1" xfId="20" applyNumberFormat="1" applyFont="1" applyFill="1" applyBorder="1"/>
    <xf numFmtId="37" fontId="41" fillId="0" borderId="1" xfId="20" quotePrefix="1" applyNumberFormat="1" applyFont="1" applyFill="1" applyBorder="1" applyAlignment="1">
      <alignment horizontal="right"/>
    </xf>
    <xf numFmtId="37" fontId="51" fillId="0" borderId="0" xfId="20" applyNumberFormat="1" applyFont="1" applyFill="1" applyAlignment="1"/>
    <xf numFmtId="37" fontId="33" fillId="0" borderId="13" xfId="20" applyNumberFormat="1" applyFont="1" applyFill="1" applyBorder="1"/>
    <xf numFmtId="37" fontId="33" fillId="0" borderId="6" xfId="20" applyNumberFormat="1" applyFont="1" applyFill="1" applyBorder="1" applyAlignment="1">
      <alignment horizontal="center" wrapText="1"/>
    </xf>
    <xf numFmtId="37" fontId="33" fillId="0" borderId="14" xfId="20" applyNumberFormat="1" applyFont="1" applyFill="1" applyBorder="1"/>
    <xf numFmtId="0" fontId="32" fillId="0" borderId="0" xfId="20" applyFont="1" applyFill="1" applyBorder="1" applyAlignment="1"/>
    <xf numFmtId="0" fontId="33" fillId="0" borderId="0" xfId="20" applyFont="1" applyFill="1" applyBorder="1" applyAlignment="1"/>
    <xf numFmtId="5" fontId="33" fillId="0" borderId="14" xfId="20" applyNumberFormat="1" applyFont="1" applyFill="1" applyBorder="1"/>
    <xf numFmtId="0" fontId="33" fillId="0" borderId="0" xfId="20" applyFont="1" applyFill="1" applyBorder="1" applyAlignment="1">
      <alignment horizontal="left"/>
    </xf>
    <xf numFmtId="5" fontId="33" fillId="0" borderId="14" xfId="20" applyNumberFormat="1" applyFont="1" applyFill="1" applyBorder="1" applyAlignment="1">
      <alignment horizontal="right"/>
    </xf>
    <xf numFmtId="37" fontId="33" fillId="0" borderId="0" xfId="20" applyNumberFormat="1" applyFont="1" applyFill="1" applyBorder="1" applyAlignment="1">
      <alignment horizontal="right"/>
    </xf>
    <xf numFmtId="37" fontId="33" fillId="0" borderId="14" xfId="20" applyNumberFormat="1" applyFont="1" applyFill="1" applyBorder="1" applyAlignment="1">
      <alignment horizontal="right"/>
    </xf>
    <xf numFmtId="37" fontId="32" fillId="0" borderId="0" xfId="20" applyNumberFormat="1" applyFont="1" applyFill="1" applyBorder="1"/>
    <xf numFmtId="37" fontId="32" fillId="0" borderId="13" xfId="20" applyNumberFormat="1" applyFont="1" applyFill="1" applyBorder="1"/>
    <xf numFmtId="37" fontId="32" fillId="0" borderId="14" xfId="20" applyNumberFormat="1" applyFont="1" applyFill="1" applyBorder="1"/>
    <xf numFmtId="37" fontId="32" fillId="0" borderId="0" xfId="20" applyNumberFormat="1" applyFont="1" applyFill="1" applyBorder="1" applyAlignment="1">
      <alignment horizontal="right"/>
    </xf>
    <xf numFmtId="5" fontId="32" fillId="0" borderId="0" xfId="20" applyNumberFormat="1" applyFont="1" applyFill="1" applyBorder="1"/>
    <xf numFmtId="5" fontId="32" fillId="0" borderId="14" xfId="20" applyNumberFormat="1" applyFont="1" applyFill="1" applyBorder="1"/>
    <xf numFmtId="38" fontId="48" fillId="0" borderId="0" xfId="0" applyNumberFormat="1" applyFont="1" applyFill="1"/>
    <xf numFmtId="37" fontId="33" fillId="0" borderId="0" xfId="20" applyNumberFormat="1" applyFont="1" applyFill="1" applyBorder="1" applyAlignment="1">
      <alignment horizontal="center"/>
    </xf>
    <xf numFmtId="37" fontId="32" fillId="0" borderId="22" xfId="20" applyNumberFormat="1" applyFont="1" applyFill="1" applyBorder="1"/>
    <xf numFmtId="0" fontId="32" fillId="0" borderId="8" xfId="20" applyFont="1" applyFill="1" applyBorder="1" applyAlignment="1"/>
    <xf numFmtId="37" fontId="32" fillId="0" borderId="8" xfId="20" applyNumberFormat="1" applyFont="1" applyFill="1" applyBorder="1"/>
    <xf numFmtId="37" fontId="32" fillId="0" borderId="23" xfId="20" applyNumberFormat="1" applyFont="1" applyFill="1" applyBorder="1"/>
    <xf numFmtId="37" fontId="32" fillId="0" borderId="20" xfId="20" applyNumberFormat="1" applyFont="1" applyFill="1" applyBorder="1"/>
    <xf numFmtId="37" fontId="33" fillId="0" borderId="6" xfId="20" applyNumberFormat="1" applyFont="1" applyFill="1" applyBorder="1"/>
    <xf numFmtId="37" fontId="33" fillId="0" borderId="20" xfId="20" applyNumberFormat="1" applyFont="1" applyFill="1" applyBorder="1"/>
    <xf numFmtId="37" fontId="33" fillId="0" borderId="21" xfId="20" applyNumberFormat="1" applyFont="1" applyFill="1" applyBorder="1"/>
    <xf numFmtId="37" fontId="33" fillId="0" borderId="8" xfId="20" applyNumberFormat="1" applyFont="1" applyFill="1" applyBorder="1"/>
    <xf numFmtId="37" fontId="33" fillId="0" borderId="22" xfId="20" applyNumberFormat="1" applyFont="1" applyFill="1" applyBorder="1"/>
    <xf numFmtId="37" fontId="33" fillId="0" borderId="23" xfId="20" applyNumberFormat="1" applyFont="1" applyFill="1" applyBorder="1"/>
    <xf numFmtId="37" fontId="32" fillId="9" borderId="0" xfId="20" applyNumberFormat="1" applyFont="1" applyFill="1" applyBorder="1" applyAlignment="1">
      <alignment vertical="center"/>
    </xf>
    <xf numFmtId="5" fontId="32" fillId="9" borderId="0" xfId="20" applyNumberFormat="1" applyFont="1" applyFill="1" applyBorder="1" applyAlignment="1">
      <alignment vertical="center"/>
    </xf>
    <xf numFmtId="37" fontId="60" fillId="0" borderId="0" xfId="0" applyNumberFormat="1" applyFont="1"/>
    <xf numFmtId="0" fontId="39" fillId="0" borderId="16" xfId="13" quotePrefix="1" applyFont="1" applyFill="1" applyBorder="1" applyAlignment="1">
      <alignment horizontal="center"/>
    </xf>
    <xf numFmtId="0" fontId="39" fillId="0" borderId="16" xfId="13" applyFont="1" applyFill="1" applyBorder="1" applyAlignment="1">
      <alignment horizontal="center"/>
    </xf>
    <xf numFmtId="0" fontId="47" fillId="0" borderId="0" xfId="13" applyFont="1" applyFill="1" applyBorder="1" applyAlignment="1">
      <alignment horizontal="center" wrapText="1"/>
    </xf>
    <xf numFmtId="0" fontId="47" fillId="0" borderId="16" xfId="13" applyFont="1" applyFill="1" applyBorder="1" applyAlignment="1">
      <alignment horizontal="center" wrapText="1"/>
    </xf>
    <xf numFmtId="0" fontId="38" fillId="0" borderId="0" xfId="13" quotePrefix="1" applyFont="1" applyFill="1" applyBorder="1" applyAlignment="1">
      <alignment horizontal="center"/>
    </xf>
    <xf numFmtId="164" fontId="61" fillId="0" borderId="0" xfId="14" applyNumberFormat="1" applyFont="1" applyFill="1" applyAlignment="1"/>
    <xf numFmtId="37" fontId="62" fillId="0" borderId="0" xfId="13" applyNumberFormat="1" applyFont="1" applyFill="1" applyBorder="1" applyAlignment="1"/>
    <xf numFmtId="37" fontId="62" fillId="5" borderId="0" xfId="13" applyNumberFormat="1" applyFont="1" applyFill="1" applyBorder="1" applyAlignment="1"/>
    <xf numFmtId="37" fontId="62" fillId="4" borderId="0" xfId="13" applyNumberFormat="1" applyFont="1" applyFill="1" applyBorder="1" applyAlignment="1"/>
    <xf numFmtId="165" fontId="33" fillId="0" borderId="0" xfId="32" applyNumberFormat="1" applyFont="1" applyFill="1" applyBorder="1" applyAlignment="1"/>
    <xf numFmtId="37" fontId="29" fillId="0" borderId="0" xfId="9" quotePrefix="1" applyNumberFormat="1" applyFont="1" applyBorder="1" applyAlignment="1">
      <alignment horizontal="right"/>
    </xf>
    <xf numFmtId="164" fontId="40" fillId="0" borderId="0" xfId="17" applyNumberFormat="1" applyFont="1" applyFill="1" applyAlignment="1"/>
    <xf numFmtId="37" fontId="33" fillId="0" borderId="18" xfId="20" applyNumberFormat="1" applyFont="1" applyFill="1" applyBorder="1"/>
    <xf numFmtId="37" fontId="33" fillId="0" borderId="19" xfId="20" applyNumberFormat="1" applyFont="1" applyFill="1" applyBorder="1" applyAlignment="1">
      <alignment horizontal="center" wrapText="1"/>
    </xf>
    <xf numFmtId="37" fontId="33" fillId="0" borderId="17" xfId="20" applyNumberFormat="1" applyFont="1" applyFill="1" applyBorder="1"/>
    <xf numFmtId="37" fontId="33" fillId="0" borderId="21" xfId="20" applyNumberFormat="1" applyFont="1" applyFill="1" applyBorder="1" applyAlignment="1">
      <alignment horizontal="right"/>
    </xf>
    <xf numFmtId="164" fontId="61" fillId="0" borderId="0" xfId="17" applyNumberFormat="1" applyFont="1" applyFill="1" applyAlignment="1">
      <alignment horizontal="center"/>
    </xf>
    <xf numFmtId="0" fontId="61" fillId="0" borderId="0" xfId="14" applyFont="1" applyFill="1" applyAlignment="1"/>
    <xf numFmtId="5" fontId="61" fillId="0" borderId="0" xfId="3" applyFont="1" applyFill="1"/>
    <xf numFmtId="164" fontId="61" fillId="0" borderId="0" xfId="17" applyNumberFormat="1" applyFont="1" applyFill="1" applyAlignment="1">
      <alignment horizontal="centerContinuous"/>
    </xf>
    <xf numFmtId="0" fontId="61" fillId="0" borderId="0" xfId="14" applyFont="1" applyFill="1" applyAlignment="1">
      <alignment horizontal="centerContinuous"/>
    </xf>
    <xf numFmtId="37" fontId="62" fillId="0" borderId="0" xfId="20" applyNumberFormat="1" applyFont="1" applyFill="1" applyBorder="1"/>
    <xf numFmtId="167" fontId="30" fillId="0" borderId="0" xfId="0" applyNumberFormat="1" applyFont="1"/>
    <xf numFmtId="37" fontId="33" fillId="0" borderId="0" xfId="20" applyNumberFormat="1" applyFont="1" applyFill="1" applyBorder="1" applyAlignment="1">
      <alignment horizontal="center" wrapText="1"/>
    </xf>
    <xf numFmtId="37" fontId="33" fillId="9" borderId="0" xfId="20" applyNumberFormat="1" applyFont="1" applyFill="1" applyBorder="1"/>
    <xf numFmtId="37" fontId="32" fillId="9" borderId="0" xfId="20" applyNumberFormat="1" applyFont="1" applyFill="1" applyBorder="1"/>
    <xf numFmtId="165" fontId="33" fillId="0" borderId="0" xfId="32" applyNumberFormat="1" applyFont="1" applyFill="1" applyBorder="1" applyAlignment="1">
      <alignment horizontal="right"/>
    </xf>
    <xf numFmtId="37" fontId="58" fillId="0" borderId="22" xfId="20" applyNumberFormat="1" applyFont="1" applyFill="1" applyBorder="1" applyAlignment="1">
      <alignment horizontal="center"/>
    </xf>
    <xf numFmtId="0" fontId="60" fillId="0" borderId="0" xfId="14" applyFont="1" applyFill="1" applyAlignment="1"/>
    <xf numFmtId="37" fontId="51" fillId="0" borderId="0" xfId="20" applyNumberFormat="1" applyFont="1" applyFill="1" applyAlignment="1">
      <alignment vertical="center"/>
    </xf>
    <xf numFmtId="37" fontId="48" fillId="0" borderId="0" xfId="0" applyNumberFormat="1" applyFont="1"/>
    <xf numFmtId="37" fontId="48" fillId="0" borderId="0" xfId="0" applyNumberFormat="1" applyFont="1" applyBorder="1"/>
    <xf numFmtId="37" fontId="39" fillId="0" borderId="0" xfId="0" applyNumberFormat="1" applyFont="1" applyBorder="1"/>
    <xf numFmtId="37" fontId="70" fillId="0" borderId="0" xfId="0" applyNumberFormat="1" applyFont="1"/>
    <xf numFmtId="5" fontId="61" fillId="0" borderId="0" xfId="3" applyFont="1" applyFill="1" applyAlignment="1">
      <alignment horizontal="right"/>
    </xf>
    <xf numFmtId="5" fontId="40" fillId="0" borderId="0" xfId="40" applyNumberFormat="1" applyFont="1" applyFill="1" applyAlignment="1"/>
    <xf numFmtId="166" fontId="40" fillId="0" borderId="0" xfId="14" applyNumberFormat="1" applyFont="1" applyFill="1" applyAlignment="1"/>
    <xf numFmtId="5" fontId="30" fillId="0" borderId="0" xfId="14" applyNumberFormat="1" applyFont="1" applyFill="1" applyAlignment="1"/>
    <xf numFmtId="6" fontId="40" fillId="0" borderId="0" xfId="14" applyNumberFormat="1" applyFont="1" applyFill="1" applyAlignment="1"/>
    <xf numFmtId="37" fontId="30" fillId="0" borderId="1" xfId="20" applyNumberFormat="1" applyFont="1" applyBorder="1"/>
    <xf numFmtId="17" fontId="41" fillId="0" borderId="1" xfId="20" quotePrefix="1" applyNumberFormat="1" applyFont="1" applyBorder="1" applyAlignment="1">
      <alignment horizontal="right"/>
    </xf>
    <xf numFmtId="37" fontId="30" fillId="0" borderId="0" xfId="20" applyNumberFormat="1" applyFont="1" applyBorder="1"/>
    <xf numFmtId="37" fontId="41" fillId="0" borderId="0" xfId="20" quotePrefix="1" applyNumberFormat="1" applyFont="1" applyBorder="1" applyAlignment="1">
      <alignment horizontal="right"/>
    </xf>
    <xf numFmtId="37" fontId="30" fillId="0" borderId="0" xfId="20" applyNumberFormat="1" applyFont="1"/>
    <xf numFmtId="0" fontId="72" fillId="0" borderId="0" xfId="14" applyFont="1" applyFill="1" applyAlignment="1">
      <alignment horizontal="left"/>
    </xf>
    <xf numFmtId="0" fontId="47" fillId="10" borderId="0" xfId="14" applyFont="1" applyFill="1" applyAlignment="1"/>
    <xf numFmtId="5" fontId="47" fillId="10" borderId="0" xfId="3" applyFont="1" applyFill="1" applyAlignment="1">
      <alignment horizontal="right"/>
    </xf>
    <xf numFmtId="164" fontId="47" fillId="10" borderId="0" xfId="17" applyNumberFormat="1" applyFont="1" applyFill="1" applyAlignment="1">
      <alignment horizontal="center"/>
    </xf>
    <xf numFmtId="0" fontId="47" fillId="10" borderId="0" xfId="14" applyFont="1" applyFill="1" applyAlignment="1">
      <alignment horizontal="centerContinuous"/>
    </xf>
    <xf numFmtId="164" fontId="47" fillId="0" borderId="0" xfId="43" applyNumberFormat="1" applyFont="1" applyFill="1" applyAlignment="1">
      <alignment horizontal="centerContinuous"/>
    </xf>
    <xf numFmtId="43" fontId="50" fillId="0" borderId="0" xfId="42" quotePrefix="1" applyFont="1" applyFill="1"/>
    <xf numFmtId="43" fontId="50" fillId="0" borderId="0" xfId="42" applyFont="1" applyFill="1"/>
    <xf numFmtId="164" fontId="47" fillId="0" borderId="0" xfId="43" applyNumberFormat="1" applyFont="1" applyFill="1" applyAlignment="1">
      <alignment horizontal="center"/>
    </xf>
    <xf numFmtId="9" fontId="47" fillId="0" borderId="0" xfId="43" applyFont="1" applyFill="1" applyAlignment="1"/>
    <xf numFmtId="165" fontId="47" fillId="0" borderId="0" xfId="42" applyNumberFormat="1" applyFont="1" applyFill="1" applyAlignment="1"/>
    <xf numFmtId="43" fontId="67" fillId="0" borderId="0" xfId="42" quotePrefix="1" applyFont="1" applyFill="1"/>
    <xf numFmtId="165" fontId="62" fillId="0" borderId="14" xfId="32" applyNumberFormat="1" applyFont="1" applyFill="1" applyBorder="1" applyAlignment="1">
      <alignment horizontal="right"/>
    </xf>
    <xf numFmtId="165" fontId="62" fillId="0" borderId="13" xfId="32" applyNumberFormat="1" applyFont="1" applyFill="1" applyBorder="1" applyAlignment="1">
      <alignment horizontal="right"/>
    </xf>
    <xf numFmtId="37" fontId="73" fillId="0" borderId="0" xfId="20" applyNumberFormat="1" applyFont="1" applyFill="1" applyAlignment="1"/>
    <xf numFmtId="37" fontId="33" fillId="0" borderId="0" xfId="20" applyNumberFormat="1" applyFont="1" applyFill="1" applyBorder="1"/>
    <xf numFmtId="165" fontId="32" fillId="0" borderId="0" xfId="32" applyNumberFormat="1" applyFont="1" applyFill="1" applyBorder="1"/>
    <xf numFmtId="37" fontId="33" fillId="0" borderId="6" xfId="20" applyNumberFormat="1" applyFont="1" applyFill="1" applyBorder="1" applyAlignment="1">
      <alignment horizontal="center"/>
    </xf>
    <xf numFmtId="37" fontId="33" fillId="0" borderId="21" xfId="20" applyNumberFormat="1" applyFont="1" applyFill="1" applyBorder="1" applyAlignment="1">
      <alignment horizontal="center" wrapText="1"/>
    </xf>
    <xf numFmtId="165" fontId="33" fillId="0" borderId="14" xfId="20" applyNumberFormat="1" applyFont="1" applyFill="1" applyBorder="1" applyAlignment="1">
      <alignment horizontal="right"/>
    </xf>
    <xf numFmtId="165" fontId="33" fillId="0" borderId="13" xfId="20" applyNumberFormat="1" applyFont="1" applyFill="1" applyBorder="1" applyAlignment="1">
      <alignment horizontal="right"/>
    </xf>
    <xf numFmtId="165" fontId="33" fillId="0" borderId="0" xfId="20" applyNumberFormat="1" applyFont="1" applyFill="1" applyBorder="1" applyAlignment="1">
      <alignment horizontal="right"/>
    </xf>
    <xf numFmtId="165" fontId="62" fillId="0" borderId="14" xfId="20" applyNumberFormat="1" applyFont="1" applyFill="1" applyBorder="1" applyAlignment="1">
      <alignment horizontal="right"/>
    </xf>
    <xf numFmtId="165" fontId="62" fillId="0" borderId="13" xfId="20" applyNumberFormat="1" applyFont="1" applyFill="1" applyBorder="1" applyAlignment="1">
      <alignment horizontal="right"/>
    </xf>
    <xf numFmtId="165" fontId="32" fillId="0" borderId="0" xfId="20" applyNumberFormat="1" applyFont="1" applyFill="1" applyBorder="1" applyAlignment="1">
      <alignment horizontal="right"/>
    </xf>
    <xf numFmtId="165" fontId="32" fillId="0" borderId="0" xfId="20" applyNumberFormat="1" applyFont="1" applyFill="1" applyBorder="1"/>
    <xf numFmtId="165" fontId="33" fillId="0" borderId="14" xfId="20" applyNumberFormat="1" applyFont="1" applyFill="1" applyBorder="1"/>
    <xf numFmtId="165" fontId="33" fillId="0" borderId="0" xfId="20" applyNumberFormat="1" applyFont="1" applyFill="1" applyBorder="1"/>
    <xf numFmtId="37" fontId="76" fillId="0" borderId="8" xfId="20" applyNumberFormat="1" applyFont="1" applyFill="1" applyBorder="1"/>
    <xf numFmtId="37" fontId="62" fillId="0" borderId="6" xfId="20" applyNumberFormat="1" applyFont="1" applyFill="1" applyBorder="1"/>
    <xf numFmtId="37" fontId="62" fillId="0" borderId="8" xfId="20" applyNumberFormat="1" applyFont="1" applyFill="1" applyBorder="1"/>
    <xf numFmtId="165" fontId="62" fillId="0" borderId="0" xfId="32" applyNumberFormat="1" applyFont="1" applyFill="1" applyBorder="1" applyAlignment="1">
      <alignment horizontal="right"/>
    </xf>
    <xf numFmtId="37" fontId="33" fillId="0" borderId="20" xfId="20" applyNumberFormat="1" applyFont="1" applyFill="1" applyBorder="1" applyAlignment="1">
      <alignment horizontal="right"/>
    </xf>
    <xf numFmtId="0" fontId="48" fillId="0" borderId="0" xfId="20" applyFont="1" applyFill="1" applyBorder="1" applyAlignment="1">
      <alignment horizontal="left"/>
    </xf>
    <xf numFmtId="37" fontId="48" fillId="0" borderId="0" xfId="20" applyNumberFormat="1" applyFont="1" applyFill="1" applyBorder="1"/>
    <xf numFmtId="38" fontId="30" fillId="0" borderId="6" xfId="13" applyNumberFormat="1" applyFont="1" applyFill="1" applyBorder="1" applyAlignment="1"/>
    <xf numFmtId="5" fontId="38" fillId="0" borderId="9" xfId="32" applyNumberFormat="1" applyFont="1" applyBorder="1"/>
    <xf numFmtId="37" fontId="32" fillId="9" borderId="13" xfId="20" applyNumberFormat="1" applyFont="1" applyFill="1" applyBorder="1" applyAlignment="1">
      <alignment vertical="center"/>
    </xf>
    <xf numFmtId="5" fontId="32" fillId="9" borderId="14" xfId="20" applyNumberFormat="1" applyFont="1" applyFill="1" applyBorder="1" applyAlignment="1">
      <alignment vertical="center"/>
    </xf>
    <xf numFmtId="37" fontId="32" fillId="9" borderId="14" xfId="20" applyNumberFormat="1" applyFont="1" applyFill="1" applyBorder="1"/>
    <xf numFmtId="165" fontId="32" fillId="9" borderId="0" xfId="20" applyNumberFormat="1" applyFont="1" applyFill="1" applyBorder="1" applyAlignment="1">
      <alignment vertical="center"/>
    </xf>
    <xf numFmtId="37" fontId="32" fillId="9" borderId="13" xfId="20" applyNumberFormat="1" applyFont="1" applyFill="1" applyBorder="1"/>
    <xf numFmtId="5" fontId="32" fillId="9" borderId="13" xfId="20" applyNumberFormat="1" applyFont="1" applyFill="1" applyBorder="1" applyAlignment="1">
      <alignment vertical="center"/>
    </xf>
    <xf numFmtId="164" fontId="47" fillId="0" borderId="0" xfId="1" applyNumberFormat="1" applyFont="1" applyFill="1" applyAlignment="1">
      <alignment horizontal="center"/>
    </xf>
    <xf numFmtId="37" fontId="56" fillId="0" borderId="0" xfId="20" applyNumberFormat="1" applyFont="1" applyFill="1" applyAlignment="1">
      <alignment horizontal="left"/>
    </xf>
    <xf numFmtId="37" fontId="33" fillId="0" borderId="0" xfId="20" applyNumberFormat="1" applyFont="1" applyFill="1" applyAlignment="1">
      <alignment horizontal="left"/>
    </xf>
    <xf numFmtId="165" fontId="79" fillId="0" borderId="0" xfId="20" applyNumberFormat="1" applyFont="1" applyFill="1" applyBorder="1" applyAlignment="1">
      <alignment horizontal="center" vertical="center"/>
    </xf>
    <xf numFmtId="165" fontId="65" fillId="0" borderId="0" xfId="32" applyNumberFormat="1" applyFont="1" applyFill="1" applyBorder="1" applyAlignment="1">
      <alignment horizontal="center" vertical="center"/>
    </xf>
    <xf numFmtId="165" fontId="65" fillId="0" borderId="0" xfId="20" applyNumberFormat="1" applyFont="1" applyFill="1" applyBorder="1" applyAlignment="1">
      <alignment horizontal="center" vertical="center"/>
    </xf>
    <xf numFmtId="165" fontId="62" fillId="0" borderId="14" xfId="20" applyNumberFormat="1" applyFont="1" applyFill="1" applyBorder="1"/>
    <xf numFmtId="165" fontId="62" fillId="0" borderId="13" xfId="20" applyNumberFormat="1" applyFont="1" applyFill="1" applyBorder="1"/>
    <xf numFmtId="165" fontId="62" fillId="0" borderId="0" xfId="20" applyNumberFormat="1" applyFont="1" applyFill="1" applyBorder="1"/>
    <xf numFmtId="165" fontId="5" fillId="0" borderId="0" xfId="32" applyNumberFormat="1" applyFont="1"/>
    <xf numFmtId="0" fontId="5" fillId="0" borderId="0" xfId="149"/>
    <xf numFmtId="165" fontId="5" fillId="0" borderId="0" xfId="32" applyNumberFormat="1" applyFont="1" applyAlignment="1">
      <alignment horizontal="right"/>
    </xf>
    <xf numFmtId="165" fontId="5" fillId="0" borderId="0" xfId="149" applyNumberFormat="1"/>
    <xf numFmtId="37" fontId="58" fillId="0" borderId="8" xfId="20" applyNumberFormat="1" applyFont="1" applyFill="1" applyBorder="1" applyAlignment="1">
      <alignment horizontal="center"/>
    </xf>
    <xf numFmtId="37" fontId="58" fillId="0" borderId="23" xfId="20" applyNumberFormat="1" applyFont="1" applyFill="1" applyBorder="1" applyAlignment="1">
      <alignment horizontal="center"/>
    </xf>
    <xf numFmtId="37" fontId="33" fillId="0" borderId="22" xfId="20" applyNumberFormat="1" applyFont="1" applyFill="1" applyBorder="1" applyAlignment="1">
      <alignment horizontal="center" wrapText="1"/>
    </xf>
    <xf numFmtId="37" fontId="33" fillId="0" borderId="8" xfId="20" applyNumberFormat="1" applyFont="1" applyFill="1" applyBorder="1" applyAlignment="1">
      <alignment horizontal="center"/>
    </xf>
    <xf numFmtId="37" fontId="33" fillId="0" borderId="8" xfId="20" applyNumberFormat="1" applyFont="1" applyFill="1" applyBorder="1" applyAlignment="1">
      <alignment horizontal="center" wrapText="1"/>
    </xf>
    <xf numFmtId="37" fontId="33" fillId="0" borderId="23" xfId="20" applyNumberFormat="1" applyFont="1" applyFill="1" applyBorder="1" applyAlignment="1">
      <alignment horizontal="center" wrapText="1"/>
    </xf>
    <xf numFmtId="0" fontId="5" fillId="0" borderId="13" xfId="149" applyBorder="1"/>
    <xf numFmtId="165" fontId="5" fillId="0" borderId="0" xfId="32" applyNumberFormat="1" applyFont="1" applyAlignment="1">
      <alignment vertical="center"/>
    </xf>
    <xf numFmtId="0" fontId="5" fillId="0" borderId="0" xfId="149" applyBorder="1"/>
    <xf numFmtId="165" fontId="33" fillId="0" borderId="13" xfId="150" applyNumberFormat="1" applyFont="1" applyFill="1" applyBorder="1" applyAlignment="1">
      <alignment horizontal="right"/>
    </xf>
    <xf numFmtId="165" fontId="33" fillId="0" borderId="14" xfId="150" applyNumberFormat="1" applyFont="1" applyFill="1" applyBorder="1" applyAlignment="1">
      <alignment horizontal="right"/>
    </xf>
    <xf numFmtId="0" fontId="32" fillId="0" borderId="6" xfId="20" applyFont="1" applyFill="1" applyBorder="1" applyAlignment="1"/>
    <xf numFmtId="0" fontId="33" fillId="0" borderId="6" xfId="20" applyFont="1" applyFill="1" applyBorder="1" applyAlignment="1">
      <alignment horizontal="left"/>
    </xf>
    <xf numFmtId="5" fontId="62" fillId="0" borderId="6" xfId="20" applyNumberFormat="1" applyFont="1" applyFill="1" applyBorder="1" applyAlignment="1">
      <alignment horizontal="right"/>
    </xf>
    <xf numFmtId="37" fontId="62" fillId="0" borderId="6" xfId="20" applyNumberFormat="1" applyFont="1" applyFill="1" applyBorder="1" applyAlignment="1">
      <alignment horizontal="right"/>
    </xf>
    <xf numFmtId="164" fontId="33" fillId="0" borderId="0" xfId="151" applyNumberFormat="1" applyFont="1" applyFill="1" applyBorder="1"/>
    <xf numFmtId="165" fontId="33" fillId="0" borderId="13" xfId="20" applyNumberFormat="1" applyFont="1" applyFill="1" applyBorder="1"/>
    <xf numFmtId="0" fontId="5" fillId="0" borderId="0" xfId="149" applyFont="1"/>
    <xf numFmtId="9" fontId="33" fillId="0" borderId="20" xfId="151" applyFont="1" applyFill="1" applyBorder="1"/>
    <xf numFmtId="9" fontId="33" fillId="0" borderId="6" xfId="151" applyFont="1" applyFill="1" applyBorder="1"/>
    <xf numFmtId="9" fontId="33" fillId="0" borderId="6" xfId="151" applyFont="1" applyFill="1" applyBorder="1" applyAlignment="1"/>
    <xf numFmtId="9" fontId="33" fillId="0" borderId="6" xfId="151" applyFont="1" applyFill="1" applyBorder="1" applyAlignment="1">
      <alignment horizontal="left"/>
    </xf>
    <xf numFmtId="9" fontId="33" fillId="0" borderId="21" xfId="151" applyFont="1" applyFill="1" applyBorder="1"/>
    <xf numFmtId="9" fontId="33" fillId="0" borderId="6" xfId="151" applyFont="1" applyFill="1" applyBorder="1" applyAlignment="1">
      <alignment horizontal="right"/>
    </xf>
    <xf numFmtId="9" fontId="33" fillId="0" borderId="21" xfId="151" applyFont="1" applyFill="1" applyBorder="1" applyAlignment="1">
      <alignment horizontal="right"/>
    </xf>
    <xf numFmtId="9" fontId="33" fillId="0" borderId="20" xfId="151" applyFont="1" applyFill="1" applyBorder="1" applyAlignment="1">
      <alignment horizontal="right"/>
    </xf>
    <xf numFmtId="9" fontId="79" fillId="0" borderId="6" xfId="151" applyFont="1" applyFill="1" applyBorder="1" applyAlignment="1">
      <alignment horizontal="center" vertical="center"/>
    </xf>
    <xf numFmtId="9" fontId="62" fillId="0" borderId="6" xfId="151" applyFont="1" applyFill="1" applyBorder="1" applyAlignment="1">
      <alignment horizontal="right"/>
    </xf>
    <xf numFmtId="9" fontId="5" fillId="0" borderId="0" xfId="151" applyFont="1"/>
    <xf numFmtId="9" fontId="32" fillId="0" borderId="13" xfId="151" applyFont="1" applyFill="1" applyBorder="1"/>
    <xf numFmtId="9" fontId="33" fillId="0" borderId="0" xfId="151" applyFont="1" applyFill="1" applyBorder="1"/>
    <xf numFmtId="9" fontId="32" fillId="0" borderId="0" xfId="151" applyFont="1" applyFill="1" applyBorder="1" applyAlignment="1"/>
    <xf numFmtId="9" fontId="33" fillId="0" borderId="0" xfId="151" applyFont="1" applyFill="1" applyBorder="1" applyAlignment="1">
      <alignment horizontal="left"/>
    </xf>
    <xf numFmtId="9" fontId="33" fillId="0" borderId="13" xfId="151" applyFont="1" applyFill="1" applyBorder="1"/>
    <xf numFmtId="9" fontId="33" fillId="0" borderId="0" xfId="151" applyFont="1" applyFill="1" applyBorder="1" applyAlignment="1">
      <alignment horizontal="right"/>
    </xf>
    <xf numFmtId="9" fontId="33" fillId="0" borderId="14" xfId="151" applyFont="1" applyFill="1" applyBorder="1" applyAlignment="1">
      <alignment horizontal="right"/>
    </xf>
    <xf numFmtId="9" fontId="33" fillId="0" borderId="13" xfId="151" applyFont="1" applyFill="1" applyBorder="1" applyAlignment="1">
      <alignment horizontal="right"/>
    </xf>
    <xf numFmtId="9" fontId="66" fillId="0" borderId="0" xfId="151" applyFont="1" applyFill="1" applyBorder="1" applyAlignment="1">
      <alignment horizontal="center" vertical="center"/>
    </xf>
    <xf numFmtId="9" fontId="62" fillId="0" borderId="0" xfId="151" applyFont="1" applyFill="1" applyBorder="1" applyAlignment="1">
      <alignment horizontal="right"/>
    </xf>
    <xf numFmtId="9" fontId="33" fillId="0" borderId="14" xfId="151" applyFont="1" applyFill="1" applyBorder="1"/>
    <xf numFmtId="9" fontId="5" fillId="0" borderId="0" xfId="151"/>
    <xf numFmtId="9" fontId="32" fillId="0" borderId="0" xfId="151" applyFont="1" applyFill="1" applyBorder="1"/>
    <xf numFmtId="9" fontId="32" fillId="0" borderId="14" xfId="151" applyFont="1" applyFill="1" applyBorder="1"/>
    <xf numFmtId="9" fontId="32" fillId="0" borderId="20" xfId="151" applyFont="1" applyFill="1" applyBorder="1"/>
    <xf numFmtId="9" fontId="62" fillId="0" borderId="6" xfId="151" applyFont="1" applyFill="1" applyBorder="1"/>
    <xf numFmtId="9" fontId="33" fillId="0" borderId="22" xfId="151" applyFont="1" applyFill="1" applyBorder="1"/>
    <xf numFmtId="9" fontId="33" fillId="0" borderId="8" xfId="151" applyFont="1" applyFill="1" applyBorder="1"/>
    <xf numFmtId="9" fontId="33" fillId="0" borderId="23" xfId="151" applyFont="1" applyFill="1" applyBorder="1"/>
    <xf numFmtId="9" fontId="62" fillId="0" borderId="8" xfId="151" applyFont="1" applyFill="1" applyBorder="1"/>
    <xf numFmtId="0" fontId="5" fillId="0" borderId="0" xfId="149" applyAlignment="1">
      <alignment vertical="center"/>
    </xf>
    <xf numFmtId="164" fontId="33" fillId="9" borderId="0" xfId="151" applyNumberFormat="1" applyFont="1" applyFill="1" applyBorder="1"/>
    <xf numFmtId="3" fontId="5" fillId="0" borderId="20" xfId="149" applyNumberFormat="1" applyBorder="1"/>
    <xf numFmtId="3" fontId="5" fillId="0" borderId="6" xfId="149" applyNumberFormat="1" applyBorder="1"/>
    <xf numFmtId="3" fontId="5" fillId="0" borderId="21" xfId="149" applyNumberFormat="1" applyBorder="1"/>
    <xf numFmtId="3" fontId="5" fillId="0" borderId="0" xfId="149" applyNumberFormat="1"/>
    <xf numFmtId="3" fontId="5" fillId="0" borderId="0" xfId="149" applyNumberFormat="1" applyBorder="1"/>
    <xf numFmtId="3" fontId="71" fillId="0" borderId="0" xfId="149" applyNumberFormat="1" applyFont="1"/>
    <xf numFmtId="3" fontId="78" fillId="0" borderId="0" xfId="149" applyNumberFormat="1" applyFont="1"/>
    <xf numFmtId="3" fontId="33" fillId="0" borderId="0" xfId="149" applyNumberFormat="1" applyFont="1" applyAlignment="1">
      <alignment wrapText="1"/>
    </xf>
    <xf numFmtId="9" fontId="5" fillId="0" borderId="0" xfId="1" applyFont="1"/>
    <xf numFmtId="165" fontId="80" fillId="0" borderId="0" xfId="32" applyNumberFormat="1" applyFont="1"/>
    <xf numFmtId="165" fontId="80" fillId="11" borderId="0" xfId="32" applyNumberFormat="1" applyFont="1" applyFill="1"/>
    <xf numFmtId="165" fontId="4" fillId="0" borderId="0" xfId="32" applyNumberFormat="1" applyFont="1"/>
    <xf numFmtId="41" fontId="32" fillId="0" borderId="0" xfId="0" applyNumberFormat="1" applyFont="1" applyFill="1" applyBorder="1"/>
    <xf numFmtId="41" fontId="33" fillId="0" borderId="0" xfId="0" applyNumberFormat="1" applyFont="1" applyFill="1" applyBorder="1"/>
    <xf numFmtId="41" fontId="32" fillId="0" borderId="0" xfId="0" applyNumberFormat="1" applyFont="1"/>
    <xf numFmtId="38" fontId="48" fillId="0" borderId="0" xfId="0" applyNumberFormat="1" applyFont="1" applyFill="1" applyAlignment="1">
      <alignment horizontal="left"/>
    </xf>
    <xf numFmtId="37" fontId="48" fillId="0" borderId="0" xfId="20" applyNumberFormat="1" applyFont="1" applyFill="1" applyBorder="1" applyAlignment="1">
      <alignment horizontal="right"/>
    </xf>
    <xf numFmtId="165" fontId="48" fillId="0" borderId="0" xfId="20" applyNumberFormat="1" applyFont="1" applyFill="1" applyBorder="1"/>
    <xf numFmtId="165" fontId="48" fillId="0" borderId="0" xfId="20" applyNumberFormat="1" applyFont="1" applyFill="1" applyBorder="1" applyAlignment="1">
      <alignment horizontal="right"/>
    </xf>
    <xf numFmtId="5" fontId="47" fillId="0" borderId="0" xfId="3" applyFont="1" applyFill="1" applyAlignment="1"/>
    <xf numFmtId="165" fontId="71" fillId="0" borderId="0" xfId="32" applyNumberFormat="1" applyFont="1"/>
    <xf numFmtId="0" fontId="80" fillId="0" borderId="0" xfId="149" applyFont="1" applyBorder="1"/>
    <xf numFmtId="0" fontId="33" fillId="0" borderId="0" xfId="149" applyFont="1" applyBorder="1"/>
    <xf numFmtId="165" fontId="62" fillId="0" borderId="0" xfId="20" applyNumberFormat="1" applyFont="1" applyFill="1" applyBorder="1" applyAlignment="1">
      <alignment horizontal="right"/>
    </xf>
    <xf numFmtId="5" fontId="76" fillId="0" borderId="0" xfId="20" applyNumberFormat="1" applyFont="1" applyFill="1" applyBorder="1"/>
    <xf numFmtId="37" fontId="76" fillId="0" borderId="0" xfId="20" applyNumberFormat="1" applyFont="1" applyFill="1" applyBorder="1" applyAlignment="1">
      <alignment horizontal="right"/>
    </xf>
    <xf numFmtId="37" fontId="76" fillId="0" borderId="0" xfId="20" applyNumberFormat="1" applyFont="1" applyFill="1" applyBorder="1"/>
    <xf numFmtId="0" fontId="27" fillId="0" borderId="0" xfId="20" applyFont="1" applyAlignment="1"/>
    <xf numFmtId="165" fontId="5" fillId="0" borderId="0" xfId="32" applyNumberFormat="1" applyFont="1" applyBorder="1"/>
    <xf numFmtId="165" fontId="3" fillId="0" borderId="0" xfId="32" applyNumberFormat="1" applyFont="1"/>
    <xf numFmtId="37" fontId="56" fillId="0" borderId="0" xfId="20" applyNumberFormat="1" applyFont="1" applyFill="1" applyAlignment="1">
      <alignment horizontal="left"/>
    </xf>
    <xf numFmtId="37" fontId="33" fillId="0" borderId="0" xfId="20" applyNumberFormat="1" applyFont="1" applyFill="1" applyAlignment="1">
      <alignment horizontal="left"/>
    </xf>
    <xf numFmtId="37" fontId="33" fillId="0" borderId="23" xfId="20" applyNumberFormat="1" applyFont="1" applyFill="1" applyBorder="1" applyAlignment="1">
      <alignment horizontal="center"/>
    </xf>
    <xf numFmtId="165" fontId="33" fillId="0" borderId="14" xfId="32" applyNumberFormat="1" applyFont="1" applyFill="1" applyBorder="1" applyAlignment="1">
      <alignment horizontal="right"/>
    </xf>
    <xf numFmtId="5" fontId="62" fillId="0" borderId="21" xfId="20" applyNumberFormat="1" applyFont="1" applyFill="1" applyBorder="1" applyAlignment="1">
      <alignment horizontal="right"/>
    </xf>
    <xf numFmtId="37" fontId="76" fillId="0" borderId="23" xfId="20" applyNumberFormat="1" applyFont="1" applyFill="1" applyBorder="1"/>
    <xf numFmtId="165" fontId="32" fillId="0" borderId="14" xfId="20" applyNumberFormat="1" applyFont="1" applyFill="1" applyBorder="1"/>
    <xf numFmtId="164" fontId="33" fillId="0" borderId="14" xfId="151" applyNumberFormat="1" applyFont="1" applyFill="1" applyBorder="1"/>
    <xf numFmtId="37" fontId="62" fillId="0" borderId="21" xfId="20" applyNumberFormat="1" applyFont="1" applyFill="1" applyBorder="1"/>
    <xf numFmtId="37" fontId="62" fillId="0" borderId="23" xfId="20" applyNumberFormat="1" applyFont="1" applyFill="1" applyBorder="1"/>
    <xf numFmtId="37" fontId="76" fillId="0" borderId="14" xfId="20" applyNumberFormat="1" applyFont="1" applyFill="1" applyBorder="1" applyAlignment="1">
      <alignment horizontal="right"/>
    </xf>
    <xf numFmtId="9" fontId="62" fillId="0" borderId="21" xfId="151" applyFont="1" applyFill="1" applyBorder="1" applyAlignment="1">
      <alignment horizontal="right"/>
    </xf>
    <xf numFmtId="165" fontId="32" fillId="0" borderId="14" xfId="32" applyNumberFormat="1" applyFont="1" applyFill="1" applyBorder="1"/>
    <xf numFmtId="9" fontId="62" fillId="0" borderId="21" xfId="151" applyFont="1" applyFill="1" applyBorder="1"/>
    <xf numFmtId="9" fontId="32" fillId="0" borderId="22" xfId="151" applyFont="1" applyFill="1" applyBorder="1"/>
    <xf numFmtId="9" fontId="62" fillId="0" borderId="23" xfId="151" applyFont="1" applyFill="1" applyBorder="1"/>
    <xf numFmtId="164" fontId="33" fillId="9" borderId="14" xfId="151" applyNumberFormat="1" applyFont="1" applyFill="1" applyBorder="1"/>
    <xf numFmtId="9" fontId="33" fillId="0" borderId="8" xfId="151" applyFont="1" applyFill="1" applyBorder="1" applyAlignment="1">
      <alignment horizontal="left"/>
    </xf>
    <xf numFmtId="37" fontId="63" fillId="0" borderId="1" xfId="20" applyNumberFormat="1" applyFont="1" applyFill="1" applyBorder="1" applyAlignment="1"/>
    <xf numFmtId="3" fontId="2" fillId="0" borderId="0" xfId="149" applyNumberFormat="1" applyFont="1" applyBorder="1"/>
    <xf numFmtId="37" fontId="56" fillId="0" borderId="0" xfId="20" applyNumberFormat="1" applyFont="1" applyFill="1" applyAlignment="1">
      <alignment horizontal="left"/>
    </xf>
    <xf numFmtId="37" fontId="33" fillId="0" borderId="0" xfId="20" applyNumberFormat="1" applyFont="1" applyFill="1" applyAlignment="1">
      <alignment horizontal="left"/>
    </xf>
    <xf numFmtId="43" fontId="5" fillId="0" borderId="0" xfId="32" applyNumberFormat="1" applyFont="1"/>
    <xf numFmtId="37" fontId="56" fillId="0" borderId="0" xfId="20" applyNumberFormat="1" applyFont="1" applyFill="1" applyAlignment="1">
      <alignment horizontal="left"/>
    </xf>
    <xf numFmtId="37" fontId="33" fillId="0" borderId="0" xfId="20" applyNumberFormat="1" applyFont="1" applyFill="1" applyAlignment="1">
      <alignment horizontal="left"/>
    </xf>
    <xf numFmtId="37" fontId="62" fillId="0" borderId="13" xfId="20" applyNumberFormat="1" applyFont="1" applyFill="1" applyBorder="1"/>
    <xf numFmtId="37" fontId="62" fillId="0" borderId="14" xfId="20" applyNumberFormat="1" applyFont="1" applyFill="1" applyBorder="1"/>
    <xf numFmtId="0" fontId="71" fillId="0" borderId="0" xfId="149" applyFont="1"/>
    <xf numFmtId="37" fontId="76" fillId="0" borderId="13" xfId="20" applyNumberFormat="1" applyFont="1" applyFill="1" applyBorder="1"/>
    <xf numFmtId="0" fontId="62" fillId="0" borderId="0" xfId="20" applyFont="1" applyFill="1" applyBorder="1" applyAlignment="1"/>
    <xf numFmtId="37" fontId="62" fillId="0" borderId="14" xfId="20" applyNumberFormat="1" applyFont="1" applyFill="1" applyBorder="1" applyAlignment="1">
      <alignment horizontal="right"/>
    </xf>
    <xf numFmtId="165" fontId="80" fillId="0" borderId="0" xfId="32" applyNumberFormat="1" applyFont="1" applyFill="1"/>
    <xf numFmtId="0" fontId="33" fillId="0" borderId="6" xfId="149" applyFont="1" applyBorder="1"/>
    <xf numFmtId="165" fontId="33" fillId="0" borderId="21" xfId="20" applyNumberFormat="1" applyFont="1" applyFill="1" applyBorder="1" applyAlignment="1">
      <alignment horizontal="right"/>
    </xf>
    <xf numFmtId="9" fontId="32" fillId="0" borderId="8" xfId="151" applyFont="1" applyFill="1" applyBorder="1" applyAlignment="1"/>
    <xf numFmtId="0" fontId="33" fillId="0" borderId="8" xfId="149" applyFont="1" applyBorder="1"/>
    <xf numFmtId="0" fontId="33" fillId="0" borderId="8" xfId="20" applyFont="1" applyFill="1" applyBorder="1" applyAlignment="1">
      <alignment horizontal="left"/>
    </xf>
    <xf numFmtId="165" fontId="5" fillId="0" borderId="0" xfId="151" applyNumberFormat="1" applyFont="1"/>
    <xf numFmtId="164" fontId="80" fillId="0" borderId="0" xfId="1" applyNumberFormat="1" applyFont="1"/>
    <xf numFmtId="0" fontId="80" fillId="0" borderId="0" xfId="149" applyFont="1"/>
    <xf numFmtId="0" fontId="1" fillId="0" borderId="0" xfId="149" applyFont="1"/>
    <xf numFmtId="44" fontId="30" fillId="0" borderId="0" xfId="40" applyFont="1" applyFill="1" applyAlignment="1"/>
    <xf numFmtId="44" fontId="0" fillId="0" borderId="0" xfId="40" applyFont="1"/>
    <xf numFmtId="5" fontId="61" fillId="0" borderId="0" xfId="3" applyFont="1" applyFill="1" applyAlignment="1"/>
    <xf numFmtId="3" fontId="33" fillId="12" borderId="0" xfId="2" applyFont="1" applyFill="1" applyBorder="1" applyAlignment="1">
      <alignment horizontal="left"/>
    </xf>
    <xf numFmtId="0" fontId="33" fillId="12" borderId="0" xfId="13" applyFont="1" applyFill="1" applyBorder="1" applyAlignment="1"/>
    <xf numFmtId="37" fontId="33" fillId="12" borderId="0" xfId="13" applyNumberFormat="1" applyFont="1" applyFill="1" applyBorder="1" applyAlignment="1"/>
    <xf numFmtId="10" fontId="33" fillId="12" borderId="0" xfId="16" applyFont="1" applyFill="1" applyBorder="1" applyAlignment="1"/>
    <xf numFmtId="164" fontId="33" fillId="12" borderId="0" xfId="16" applyNumberFormat="1" applyFont="1" applyFill="1" applyBorder="1" applyAlignment="1"/>
    <xf numFmtId="37" fontId="62" fillId="12" borderId="0" xfId="13" applyNumberFormat="1" applyFont="1" applyFill="1" applyBorder="1" applyAlignment="1"/>
    <xf numFmtId="164" fontId="33" fillId="12" borderId="0" xfId="15" applyNumberFormat="1" applyFont="1" applyFill="1" applyBorder="1" applyAlignment="1"/>
    <xf numFmtId="5" fontId="33" fillId="12" borderId="0" xfId="13" applyNumberFormat="1" applyFont="1" applyFill="1" applyBorder="1" applyAlignment="1"/>
    <xf numFmtId="10" fontId="33" fillId="12" borderId="0" xfId="16" applyNumberFormat="1" applyFont="1" applyFill="1" applyBorder="1" applyAlignment="1"/>
    <xf numFmtId="0" fontId="33" fillId="0" borderId="18" xfId="13" applyFont="1" applyFill="1" applyBorder="1" applyAlignment="1"/>
    <xf numFmtId="0" fontId="33" fillId="0" borderId="17" xfId="13" applyFont="1" applyFill="1" applyBorder="1" applyAlignment="1"/>
    <xf numFmtId="5" fontId="30" fillId="0" borderId="6" xfId="13" applyNumberFormat="1" applyFont="1" applyFill="1" applyBorder="1" applyAlignment="1"/>
    <xf numFmtId="0" fontId="81" fillId="0" borderId="15" xfId="13" applyFont="1" applyFill="1" applyBorder="1" applyAlignment="1">
      <alignment horizontal="center"/>
    </xf>
    <xf numFmtId="0" fontId="62" fillId="0" borderId="0" xfId="149" applyFont="1" applyBorder="1"/>
    <xf numFmtId="165" fontId="76" fillId="0" borderId="14" xfId="20" applyNumberFormat="1" applyFont="1" applyFill="1" applyBorder="1"/>
    <xf numFmtId="165" fontId="32" fillId="0" borderId="13" xfId="20" applyNumberFormat="1" applyFont="1" applyFill="1" applyBorder="1" applyAlignment="1">
      <alignment horizontal="right"/>
    </xf>
    <xf numFmtId="165" fontId="76" fillId="0" borderId="0" xfId="20" applyNumberFormat="1" applyFont="1" applyFill="1" applyBorder="1" applyAlignment="1">
      <alignment horizontal="right"/>
    </xf>
    <xf numFmtId="165" fontId="32" fillId="9" borderId="14" xfId="20" applyNumberFormat="1" applyFont="1" applyFill="1" applyBorder="1" applyAlignment="1">
      <alignment vertical="center"/>
    </xf>
    <xf numFmtId="0" fontId="5" fillId="0" borderId="0" xfId="149" applyFill="1" applyBorder="1"/>
    <xf numFmtId="0" fontId="80" fillId="0" borderId="0" xfId="149" applyFont="1" applyFill="1" applyBorder="1"/>
    <xf numFmtId="0" fontId="33" fillId="0" borderId="0" xfId="149" applyFont="1" applyFill="1" applyBorder="1"/>
    <xf numFmtId="165" fontId="5" fillId="0" borderId="0" xfId="32" applyNumberFormat="1" applyFont="1" applyFill="1"/>
    <xf numFmtId="0" fontId="62" fillId="0" borderId="0" xfId="149" applyFont="1" applyFill="1" applyBorder="1"/>
    <xf numFmtId="37" fontId="62" fillId="0" borderId="20" xfId="20" applyNumberFormat="1" applyFont="1" applyFill="1" applyBorder="1"/>
    <xf numFmtId="0" fontId="62" fillId="0" borderId="6" xfId="149" applyFont="1" applyBorder="1"/>
    <xf numFmtId="0" fontId="62" fillId="0" borderId="6" xfId="20" applyFont="1" applyFill="1" applyBorder="1" applyAlignment="1">
      <alignment horizontal="left"/>
    </xf>
    <xf numFmtId="165" fontId="62" fillId="0" borderId="21" xfId="20" applyNumberFormat="1" applyFont="1" applyFill="1" applyBorder="1" applyAlignment="1">
      <alignment horizontal="right"/>
    </xf>
    <xf numFmtId="0" fontId="71" fillId="0" borderId="0" xfId="149" applyFont="1" applyFill="1" applyBorder="1"/>
    <xf numFmtId="0" fontId="76" fillId="0" borderId="0" xfId="20" applyFont="1" applyFill="1" applyBorder="1" applyAlignment="1"/>
    <xf numFmtId="37" fontId="76" fillId="0" borderId="14" xfId="20" applyNumberFormat="1" applyFont="1" applyFill="1" applyBorder="1"/>
    <xf numFmtId="165" fontId="32" fillId="0" borderId="13" xfId="20" applyNumberFormat="1" applyFont="1" applyFill="1" applyBorder="1"/>
    <xf numFmtId="165" fontId="76" fillId="0" borderId="0" xfId="20" applyNumberFormat="1" applyFont="1" applyFill="1" applyBorder="1"/>
    <xf numFmtId="0" fontId="82" fillId="0" borderId="0" xfId="149" applyFont="1" applyFill="1" applyBorder="1"/>
    <xf numFmtId="0" fontId="32" fillId="0" borderId="0" xfId="149" applyFont="1" applyFill="1" applyBorder="1"/>
    <xf numFmtId="0" fontId="33" fillId="0" borderId="0" xfId="149" applyFont="1" applyBorder="1" applyAlignment="1"/>
    <xf numFmtId="0" fontId="33" fillId="0" borderId="14" xfId="149" applyFont="1" applyBorder="1" applyAlignment="1"/>
    <xf numFmtId="15" fontId="41" fillId="0" borderId="1" xfId="20" quotePrefix="1" applyNumberFormat="1" applyFont="1" applyFill="1" applyBorder="1" applyAlignment="1">
      <alignment horizontal="right"/>
    </xf>
    <xf numFmtId="165" fontId="27" fillId="0" borderId="0" xfId="20" applyNumberFormat="1" applyFont="1" applyAlignment="1"/>
    <xf numFmtId="37" fontId="63" fillId="0" borderId="1" xfId="0" applyNumberFormat="1" applyFont="1" applyBorder="1" applyAlignment="1">
      <alignment horizontal="center"/>
    </xf>
    <xf numFmtId="37" fontId="32" fillId="0" borderId="18" xfId="20" applyNumberFormat="1" applyFont="1" applyFill="1" applyBorder="1" applyAlignment="1">
      <alignment horizontal="center"/>
    </xf>
    <xf numFmtId="37" fontId="32" fillId="0" borderId="19" xfId="20" applyNumberFormat="1" applyFont="1" applyFill="1" applyBorder="1" applyAlignment="1">
      <alignment horizontal="center"/>
    </xf>
    <xf numFmtId="37" fontId="32" fillId="0" borderId="17" xfId="20" applyNumberFormat="1" applyFont="1" applyFill="1" applyBorder="1" applyAlignment="1">
      <alignment horizontal="center"/>
    </xf>
    <xf numFmtId="3" fontId="33" fillId="0" borderId="0" xfId="149" applyNumberFormat="1" applyFont="1" applyAlignment="1">
      <alignment horizontal="left" vertical="top" wrapText="1"/>
    </xf>
    <xf numFmtId="37" fontId="63" fillId="0" borderId="1" xfId="20" applyNumberFormat="1" applyFont="1" applyFill="1" applyBorder="1" applyAlignment="1">
      <alignment horizontal="center"/>
    </xf>
    <xf numFmtId="3" fontId="33" fillId="0" borderId="0" xfId="149" applyNumberFormat="1" applyFont="1" applyAlignment="1">
      <alignment horizontal="left"/>
    </xf>
    <xf numFmtId="3" fontId="36" fillId="0" borderId="0" xfId="149" applyNumberFormat="1" applyFont="1" applyAlignment="1">
      <alignment horizontal="left"/>
    </xf>
    <xf numFmtId="37" fontId="56" fillId="0" borderId="0" xfId="20" applyNumberFormat="1" applyFont="1" applyFill="1" applyAlignment="1">
      <alignment horizontal="left"/>
    </xf>
    <xf numFmtId="37" fontId="33" fillId="0" borderId="0" xfId="20" applyNumberFormat="1" applyFont="1" applyFill="1" applyAlignment="1">
      <alignment horizontal="left"/>
    </xf>
    <xf numFmtId="37" fontId="32" fillId="0" borderId="22" xfId="20" applyNumberFormat="1" applyFont="1" applyFill="1" applyBorder="1" applyAlignment="1">
      <alignment horizontal="left" vertical="center" wrapText="1"/>
    </xf>
    <xf numFmtId="37" fontId="69" fillId="0" borderId="8" xfId="20" applyNumberFormat="1" applyFont="1" applyFill="1" applyBorder="1" applyAlignment="1">
      <alignment horizontal="left" vertical="center"/>
    </xf>
    <xf numFmtId="37" fontId="69" fillId="0" borderId="23" xfId="20" applyNumberFormat="1" applyFont="1" applyFill="1" applyBorder="1" applyAlignment="1">
      <alignment horizontal="left" vertical="center"/>
    </xf>
    <xf numFmtId="37" fontId="69" fillId="0" borderId="20" xfId="20" applyNumberFormat="1" applyFont="1" applyFill="1" applyBorder="1" applyAlignment="1">
      <alignment horizontal="left" vertical="center"/>
    </xf>
    <xf numFmtId="37" fontId="69" fillId="0" borderId="6" xfId="20" applyNumberFormat="1" applyFont="1" applyFill="1" applyBorder="1" applyAlignment="1">
      <alignment horizontal="left" vertical="center"/>
    </xf>
    <xf numFmtId="37" fontId="69" fillId="0" borderId="21" xfId="20" applyNumberFormat="1" applyFont="1" applyFill="1" applyBorder="1" applyAlignment="1">
      <alignment horizontal="left" vertical="center"/>
    </xf>
    <xf numFmtId="37" fontId="32" fillId="0" borderId="18" xfId="20" applyNumberFormat="1" applyFont="1" applyFill="1" applyBorder="1" applyAlignment="1">
      <alignment horizontal="center" wrapText="1"/>
    </xf>
    <xf numFmtId="37" fontId="32" fillId="0" borderId="19" xfId="20" applyNumberFormat="1" applyFont="1" applyFill="1" applyBorder="1" applyAlignment="1">
      <alignment horizontal="center" wrapText="1"/>
    </xf>
    <xf numFmtId="37" fontId="32" fillId="0" borderId="17" xfId="20" applyNumberFormat="1" applyFont="1" applyFill="1" applyBorder="1" applyAlignment="1">
      <alignment horizontal="center" wrapText="1"/>
    </xf>
    <xf numFmtId="0" fontId="39" fillId="0" borderId="16" xfId="13" quotePrefix="1" applyFont="1" applyFill="1" applyBorder="1" applyAlignment="1">
      <alignment horizontal="center"/>
    </xf>
    <xf numFmtId="0" fontId="39" fillId="0" borderId="16" xfId="13" applyFont="1" applyFill="1" applyBorder="1" applyAlignment="1">
      <alignment horizontal="center"/>
    </xf>
    <xf numFmtId="0" fontId="47" fillId="0" borderId="0" xfId="13" applyFont="1" applyFill="1" applyBorder="1" applyAlignment="1">
      <alignment horizontal="center" wrapText="1"/>
    </xf>
    <xf numFmtId="0" fontId="47" fillId="0" borderId="16" xfId="13" applyFont="1" applyFill="1" applyBorder="1" applyAlignment="1">
      <alignment horizontal="center" wrapText="1"/>
    </xf>
    <xf numFmtId="0" fontId="35" fillId="8" borderId="15" xfId="13" applyFont="1" applyFill="1" applyBorder="1" applyAlignment="1">
      <alignment horizontal="center"/>
    </xf>
    <xf numFmtId="0" fontId="38" fillId="0" borderId="0" xfId="13" quotePrefix="1" applyFont="1" applyFill="1" applyBorder="1" applyAlignment="1">
      <alignment horizontal="center"/>
    </xf>
    <xf numFmtId="0" fontId="30" fillId="0" borderId="0" xfId="14" applyFont="1" applyFill="1" applyAlignment="1">
      <alignment wrapText="1"/>
    </xf>
    <xf numFmtId="5" fontId="47" fillId="0" borderId="0" xfId="3" applyFont="1" applyFill="1" applyBorder="1" applyAlignment="1">
      <alignment horizontal="center"/>
    </xf>
    <xf numFmtId="5" fontId="47" fillId="0" borderId="6" xfId="3" applyFont="1" applyFill="1" applyBorder="1" applyAlignment="1">
      <alignment horizontal="center"/>
    </xf>
    <xf numFmtId="0" fontId="38" fillId="0" borderId="0" xfId="14" quotePrefix="1" applyFont="1" applyFill="1" applyAlignment="1">
      <alignment horizontal="left" vertical="top" wrapText="1"/>
    </xf>
    <xf numFmtId="0" fontId="38" fillId="0" borderId="0" xfId="14" applyFont="1" applyFill="1" applyAlignment="1">
      <alignment horizontal="left" vertical="top" wrapText="1"/>
    </xf>
    <xf numFmtId="37" fontId="32" fillId="0" borderId="16" xfId="20" applyNumberFormat="1" applyFont="1" applyFill="1" applyBorder="1" applyAlignment="1">
      <alignment horizontal="center" vertical="center"/>
    </xf>
    <xf numFmtId="37" fontId="76" fillId="0" borderId="0" xfId="20" applyNumberFormat="1" applyFont="1" applyFill="1" applyAlignment="1">
      <alignment horizontal="center"/>
    </xf>
  </cellXfs>
  <cellStyles count="152">
    <cellStyle name="Comma" xfId="32" builtinId="3"/>
    <cellStyle name="Comma 10" xfId="63" xr:uid="{00000000-0005-0000-0000-000001000000}"/>
    <cellStyle name="Comma 10 2" xfId="93" xr:uid="{00000000-0005-0000-0000-000002000000}"/>
    <cellStyle name="Comma 11" xfId="66" xr:uid="{00000000-0005-0000-0000-000003000000}"/>
    <cellStyle name="Comma 11 2" xfId="73" xr:uid="{00000000-0005-0000-0000-000004000000}"/>
    <cellStyle name="Comma 11 2 2" xfId="76" xr:uid="{00000000-0005-0000-0000-000005000000}"/>
    <cellStyle name="Comma 11 2 2 2" xfId="96" xr:uid="{00000000-0005-0000-0000-000006000000}"/>
    <cellStyle name="Comma 11 2 3" xfId="79" xr:uid="{00000000-0005-0000-0000-000007000000}"/>
    <cellStyle name="Comma 11 2 3 2" xfId="97" xr:uid="{00000000-0005-0000-0000-000008000000}"/>
    <cellStyle name="Comma 11 2 4" xfId="88" xr:uid="{00000000-0005-0000-0000-000009000000}"/>
    <cellStyle name="Comma 11 2 5" xfId="95" xr:uid="{00000000-0005-0000-0000-00000A000000}"/>
    <cellStyle name="Comma 11 2 6" xfId="141" xr:uid="{00000000-0005-0000-0000-00000B000000}"/>
    <cellStyle name="Comma 11 2 6 2" xfId="147" xr:uid="{00000000-0005-0000-0000-00000C000000}"/>
    <cellStyle name="Comma 11 3" xfId="94" xr:uid="{00000000-0005-0000-0000-00000D000000}"/>
    <cellStyle name="Comma 2" xfId="10" xr:uid="{00000000-0005-0000-0000-00000E000000}"/>
    <cellStyle name="Comma 2 2" xfId="42" xr:uid="{00000000-0005-0000-0000-00000F000000}"/>
    <cellStyle name="Comma 3" xfId="24" xr:uid="{00000000-0005-0000-0000-000010000000}"/>
    <cellStyle name="Comma 3 2" xfId="47" xr:uid="{00000000-0005-0000-0000-000011000000}"/>
    <cellStyle name="Comma 3 2 2" xfId="99" xr:uid="{00000000-0005-0000-0000-000012000000}"/>
    <cellStyle name="Comma 3 3" xfId="98" xr:uid="{00000000-0005-0000-0000-000013000000}"/>
    <cellStyle name="Comma 4" xfId="27" xr:uid="{00000000-0005-0000-0000-000014000000}"/>
    <cellStyle name="Comma 4 2" xfId="50" xr:uid="{00000000-0005-0000-0000-000015000000}"/>
    <cellStyle name="Comma 4 2 2" xfId="101" xr:uid="{00000000-0005-0000-0000-000016000000}"/>
    <cellStyle name="Comma 4 3" xfId="100" xr:uid="{00000000-0005-0000-0000-000017000000}"/>
    <cellStyle name="Comma 5" xfId="30" xr:uid="{00000000-0005-0000-0000-000018000000}"/>
    <cellStyle name="Comma 5 2" xfId="53" xr:uid="{00000000-0005-0000-0000-000019000000}"/>
    <cellStyle name="Comma 5 2 2" xfId="103" xr:uid="{00000000-0005-0000-0000-00001A000000}"/>
    <cellStyle name="Comma 5 3" xfId="102" xr:uid="{00000000-0005-0000-0000-00001B000000}"/>
    <cellStyle name="Comma 6" xfId="36" xr:uid="{00000000-0005-0000-0000-00001C000000}"/>
    <cellStyle name="Comma 6 2" xfId="104" xr:uid="{00000000-0005-0000-0000-00001D000000}"/>
    <cellStyle name="Comma 7" xfId="39" xr:uid="{00000000-0005-0000-0000-00001E000000}"/>
    <cellStyle name="Comma 7 2" xfId="105" xr:uid="{00000000-0005-0000-0000-00001F000000}"/>
    <cellStyle name="Comma 8" xfId="56" xr:uid="{00000000-0005-0000-0000-000020000000}"/>
    <cellStyle name="Comma 8 2" xfId="69" xr:uid="{00000000-0005-0000-0000-000021000000}"/>
    <cellStyle name="Comma 8 2 2" xfId="81" xr:uid="{00000000-0005-0000-0000-000022000000}"/>
    <cellStyle name="Comma 8 2 3" xfId="84" xr:uid="{00000000-0005-0000-0000-000023000000}"/>
    <cellStyle name="Comma 8 2 4" xfId="90" xr:uid="{00000000-0005-0000-0000-000024000000}"/>
    <cellStyle name="Comma 8 2 4 2" xfId="143" xr:uid="{00000000-0005-0000-0000-000025000000}"/>
    <cellStyle name="Comma 8 2 4 2 2" xfId="150" xr:uid="{00000000-0005-0000-0000-000026000000}"/>
    <cellStyle name="Comma 9" xfId="59" xr:uid="{00000000-0005-0000-0000-000027000000}"/>
    <cellStyle name="Comma 9 2" xfId="106" xr:uid="{00000000-0005-0000-0000-000028000000}"/>
    <cellStyle name="Comma0" xfId="2" xr:uid="{00000000-0005-0000-0000-000029000000}"/>
    <cellStyle name="Currency" xfId="40" builtinId="4"/>
    <cellStyle name="Currency 2" xfId="23" xr:uid="{00000000-0005-0000-0000-00002B000000}"/>
    <cellStyle name="Currency 2 2" xfId="46" xr:uid="{00000000-0005-0000-0000-00002C000000}"/>
    <cellStyle name="Currency 2 2 2" xfId="108" xr:uid="{00000000-0005-0000-0000-00002D000000}"/>
    <cellStyle name="Currency 2 3" xfId="107" xr:uid="{00000000-0005-0000-0000-00002E000000}"/>
    <cellStyle name="Currency 3" xfId="26" xr:uid="{00000000-0005-0000-0000-00002F000000}"/>
    <cellStyle name="Currency 3 2" xfId="49" xr:uid="{00000000-0005-0000-0000-000030000000}"/>
    <cellStyle name="Currency 3 2 2" xfId="110" xr:uid="{00000000-0005-0000-0000-000031000000}"/>
    <cellStyle name="Currency 3 3" xfId="109" xr:uid="{00000000-0005-0000-0000-000032000000}"/>
    <cellStyle name="Currency 4" xfId="31" xr:uid="{00000000-0005-0000-0000-000033000000}"/>
    <cellStyle name="Currency 4 2" xfId="54" xr:uid="{00000000-0005-0000-0000-000034000000}"/>
    <cellStyle name="Currency 4 2 2" xfId="112" xr:uid="{00000000-0005-0000-0000-000035000000}"/>
    <cellStyle name="Currency 4 3" xfId="111" xr:uid="{00000000-0005-0000-0000-000036000000}"/>
    <cellStyle name="Currency 5" xfId="35" xr:uid="{00000000-0005-0000-0000-000037000000}"/>
    <cellStyle name="Currency 5 2" xfId="113" xr:uid="{00000000-0005-0000-0000-000038000000}"/>
    <cellStyle name="Currency 6" xfId="38" xr:uid="{00000000-0005-0000-0000-000039000000}"/>
    <cellStyle name="Currency 6 2" xfId="114" xr:uid="{00000000-0005-0000-0000-00003A000000}"/>
    <cellStyle name="Currency 7" xfId="62" xr:uid="{00000000-0005-0000-0000-00003B000000}"/>
    <cellStyle name="Currency 7 2" xfId="115" xr:uid="{00000000-0005-0000-0000-00003C000000}"/>
    <cellStyle name="Currency 8" xfId="65" xr:uid="{00000000-0005-0000-0000-00003D000000}"/>
    <cellStyle name="Currency 8 2" xfId="72" xr:uid="{00000000-0005-0000-0000-00003E000000}"/>
    <cellStyle name="Currency 8 2 2" xfId="75" xr:uid="{00000000-0005-0000-0000-00003F000000}"/>
    <cellStyle name="Currency 8 2 2 2" xfId="118" xr:uid="{00000000-0005-0000-0000-000040000000}"/>
    <cellStyle name="Currency 8 2 3" xfId="78" xr:uid="{00000000-0005-0000-0000-000041000000}"/>
    <cellStyle name="Currency 8 2 3 2" xfId="119" xr:uid="{00000000-0005-0000-0000-000042000000}"/>
    <cellStyle name="Currency 8 2 4" xfId="87" xr:uid="{00000000-0005-0000-0000-000043000000}"/>
    <cellStyle name="Currency 8 2 5" xfId="117" xr:uid="{00000000-0005-0000-0000-000044000000}"/>
    <cellStyle name="Currency 8 2 6" xfId="140" xr:uid="{00000000-0005-0000-0000-000045000000}"/>
    <cellStyle name="Currency 8 2 6 2" xfId="146" xr:uid="{00000000-0005-0000-0000-000046000000}"/>
    <cellStyle name="Currency 8 3" xfId="116" xr:uid="{00000000-0005-0000-0000-000047000000}"/>
    <cellStyle name="Currency0" xfId="3" xr:uid="{00000000-0005-0000-0000-000048000000}"/>
    <cellStyle name="Date" xfId="4" xr:uid="{00000000-0005-0000-0000-000049000000}"/>
    <cellStyle name="Fixed" xfId="5" xr:uid="{00000000-0005-0000-0000-00004A000000}"/>
    <cellStyle name="Heading 1 2" xfId="6" xr:uid="{00000000-0005-0000-0000-00004B000000}"/>
    <cellStyle name="Heading 1 3" xfId="11" xr:uid="{00000000-0005-0000-0000-00004C000000}"/>
    <cellStyle name="Heading 2 2" xfId="7" xr:uid="{00000000-0005-0000-0000-00004D000000}"/>
    <cellStyle name="Heading 2 3" xfId="12" xr:uid="{00000000-0005-0000-0000-00004E000000}"/>
    <cellStyle name="Normal" xfId="0" builtinId="0"/>
    <cellStyle name="Normal 10" xfId="37" xr:uid="{00000000-0005-0000-0000-000050000000}"/>
    <cellStyle name="Normal 10 2" xfId="120" xr:uid="{00000000-0005-0000-0000-000051000000}"/>
    <cellStyle name="Normal 11" xfId="41" xr:uid="{00000000-0005-0000-0000-000052000000}"/>
    <cellStyle name="Normal 11 2" xfId="121" xr:uid="{00000000-0005-0000-0000-000053000000}"/>
    <cellStyle name="Normal 12" xfId="58" xr:uid="{00000000-0005-0000-0000-000054000000}"/>
    <cellStyle name="Normal 12 2" xfId="122" xr:uid="{00000000-0005-0000-0000-000055000000}"/>
    <cellStyle name="Normal 13" xfId="61" xr:uid="{00000000-0005-0000-0000-000056000000}"/>
    <cellStyle name="Normal 13 2" xfId="123" xr:uid="{00000000-0005-0000-0000-000057000000}"/>
    <cellStyle name="Normal 14" xfId="64" xr:uid="{00000000-0005-0000-0000-000058000000}"/>
    <cellStyle name="Normal 14 2" xfId="71" xr:uid="{00000000-0005-0000-0000-000059000000}"/>
    <cellStyle name="Normal 14 2 2" xfId="74" xr:uid="{00000000-0005-0000-0000-00005A000000}"/>
    <cellStyle name="Normal 14 2 2 2" xfId="126" xr:uid="{00000000-0005-0000-0000-00005B000000}"/>
    <cellStyle name="Normal 14 2 3" xfId="77" xr:uid="{00000000-0005-0000-0000-00005C000000}"/>
    <cellStyle name="Normal 14 2 3 2" xfId="127" xr:uid="{00000000-0005-0000-0000-00005D000000}"/>
    <cellStyle name="Normal 14 2 4" xfId="86" xr:uid="{00000000-0005-0000-0000-00005E000000}"/>
    <cellStyle name="Normal 14 2 5" xfId="125" xr:uid="{00000000-0005-0000-0000-00005F000000}"/>
    <cellStyle name="Normal 14 2 6" xfId="139" xr:uid="{00000000-0005-0000-0000-000060000000}"/>
    <cellStyle name="Normal 14 2 6 2" xfId="145" xr:uid="{00000000-0005-0000-0000-000061000000}"/>
    <cellStyle name="Normal 14 3" xfId="124" xr:uid="{00000000-0005-0000-0000-000062000000}"/>
    <cellStyle name="Normal 15" xfId="67" xr:uid="{00000000-0005-0000-0000-000063000000}"/>
    <cellStyle name="Normal 15 2" xfId="128" xr:uid="{00000000-0005-0000-0000-000064000000}"/>
    <cellStyle name="Normal 16" xfId="92" xr:uid="{00000000-0005-0000-0000-000065000000}"/>
    <cellStyle name="Normal 17" xfId="138" xr:uid="{00000000-0005-0000-0000-000066000000}"/>
    <cellStyle name="Normal 18" xfId="148" xr:uid="{00000000-0005-0000-0000-000067000000}"/>
    <cellStyle name="Normal 2" xfId="9" xr:uid="{00000000-0005-0000-0000-000068000000}"/>
    <cellStyle name="Normal 2 2" xfId="20" xr:uid="{00000000-0005-0000-0000-000069000000}"/>
    <cellStyle name="Normal 3" xfId="19" xr:uid="{00000000-0005-0000-0000-00006A000000}"/>
    <cellStyle name="Normal 3 2" xfId="33" xr:uid="{00000000-0005-0000-0000-00006B000000}"/>
    <cellStyle name="Normal 4" xfId="21" xr:uid="{00000000-0005-0000-0000-00006C000000}"/>
    <cellStyle name="Normal 4 2" xfId="44" xr:uid="{00000000-0005-0000-0000-00006D000000}"/>
    <cellStyle name="Normal 4 2 2" xfId="130" xr:uid="{00000000-0005-0000-0000-00006E000000}"/>
    <cellStyle name="Normal 4 3" xfId="129" xr:uid="{00000000-0005-0000-0000-00006F000000}"/>
    <cellStyle name="Normal 5" xfId="22" xr:uid="{00000000-0005-0000-0000-000070000000}"/>
    <cellStyle name="Normal 5 2" xfId="45" xr:uid="{00000000-0005-0000-0000-000071000000}"/>
    <cellStyle name="Normal 5 2 2" xfId="132" xr:uid="{00000000-0005-0000-0000-000072000000}"/>
    <cellStyle name="Normal 5 3" xfId="131" xr:uid="{00000000-0005-0000-0000-000073000000}"/>
    <cellStyle name="Normal 6" xfId="25" xr:uid="{00000000-0005-0000-0000-000074000000}"/>
    <cellStyle name="Normal 6 2" xfId="48" xr:uid="{00000000-0005-0000-0000-000075000000}"/>
    <cellStyle name="Normal 6 2 2" xfId="133" xr:uid="{00000000-0005-0000-0000-000076000000}"/>
    <cellStyle name="Normal 6 3" xfId="55" xr:uid="{00000000-0005-0000-0000-000077000000}"/>
    <cellStyle name="Normal 6 3 2" xfId="68" xr:uid="{00000000-0005-0000-0000-000078000000}"/>
    <cellStyle name="Normal 6 3 2 2" xfId="80" xr:uid="{00000000-0005-0000-0000-000079000000}"/>
    <cellStyle name="Normal 6 3 2 3" xfId="83" xr:uid="{00000000-0005-0000-0000-00007A000000}"/>
    <cellStyle name="Normal 6 3 2 4" xfId="89" xr:uid="{00000000-0005-0000-0000-00007B000000}"/>
    <cellStyle name="Normal 6 3 2 4 2" xfId="142" xr:uid="{00000000-0005-0000-0000-00007C000000}"/>
    <cellStyle name="Normal 6 3 2 4 2 2" xfId="149" xr:uid="{00000000-0005-0000-0000-00007D000000}"/>
    <cellStyle name="Normal 7" xfId="28" xr:uid="{00000000-0005-0000-0000-00007E000000}"/>
    <cellStyle name="Normal 7 2" xfId="51" xr:uid="{00000000-0005-0000-0000-00007F000000}"/>
    <cellStyle name="Normal 8" xfId="29" xr:uid="{00000000-0005-0000-0000-000080000000}"/>
    <cellStyle name="Normal 8 2" xfId="52" xr:uid="{00000000-0005-0000-0000-000081000000}"/>
    <cellStyle name="Normal 8 2 2" xfId="135" xr:uid="{00000000-0005-0000-0000-000082000000}"/>
    <cellStyle name="Normal 8 3" xfId="134" xr:uid="{00000000-0005-0000-0000-000083000000}"/>
    <cellStyle name="Normal 9" xfId="34" xr:uid="{00000000-0005-0000-0000-000084000000}"/>
    <cellStyle name="Normal 9 2" xfId="136" xr:uid="{00000000-0005-0000-0000-000085000000}"/>
    <cellStyle name="Normal_December 02 Special Session Reductions" xfId="13" xr:uid="{00000000-0005-0000-0000-000086000000}"/>
    <cellStyle name="Normal_historical appropriations" xfId="14" xr:uid="{00000000-0005-0000-0000-000087000000}"/>
    <cellStyle name="Percent" xfId="1" builtinId="5"/>
    <cellStyle name="Percent 2" xfId="15" xr:uid="{00000000-0005-0000-0000-000089000000}"/>
    <cellStyle name="Percent 2 2" xfId="43" xr:uid="{00000000-0005-0000-0000-00008A000000}"/>
    <cellStyle name="Percent 3" xfId="57" xr:uid="{00000000-0005-0000-0000-00008B000000}"/>
    <cellStyle name="Percent 3 2" xfId="70" xr:uid="{00000000-0005-0000-0000-00008C000000}"/>
    <cellStyle name="Percent 3 2 2" xfId="82" xr:uid="{00000000-0005-0000-0000-00008D000000}"/>
    <cellStyle name="Percent 3 2 3" xfId="85" xr:uid="{00000000-0005-0000-0000-00008E000000}"/>
    <cellStyle name="Percent 3 2 4" xfId="91" xr:uid="{00000000-0005-0000-0000-00008F000000}"/>
    <cellStyle name="Percent 3 2 4 2" xfId="144" xr:uid="{00000000-0005-0000-0000-000090000000}"/>
    <cellStyle name="Percent 3 2 4 2 2" xfId="151" xr:uid="{00000000-0005-0000-0000-000091000000}"/>
    <cellStyle name="Percent 4" xfId="60" xr:uid="{00000000-0005-0000-0000-000092000000}"/>
    <cellStyle name="Percent 4 2" xfId="137" xr:uid="{00000000-0005-0000-0000-000093000000}"/>
    <cellStyle name="Percent_December 02 Special Session Reductions" xfId="16" xr:uid="{00000000-0005-0000-0000-000094000000}"/>
    <cellStyle name="Percent_historical appropriations" xfId="17" xr:uid="{00000000-0005-0000-0000-000095000000}"/>
    <cellStyle name="Total 2" xfId="8" xr:uid="{00000000-0005-0000-0000-000096000000}"/>
    <cellStyle name="Total 3" xfId="18" xr:uid="{00000000-0005-0000-0000-00009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8"/>
  <sheetViews>
    <sheetView view="pageBreakPreview" zoomScaleNormal="200" zoomScaleSheetLayoutView="100" workbookViewId="0">
      <selection activeCell="S2" sqref="S2"/>
    </sheetView>
  </sheetViews>
  <sheetFormatPr defaultColWidth="9.140625" defaultRowHeight="12.75" x14ac:dyDescent="0.2"/>
  <cols>
    <col min="1" max="5" width="2.28515625" style="3" customWidth="1"/>
    <col min="6" max="6" width="25.140625" style="3" customWidth="1"/>
    <col min="7" max="7" width="13" style="3" customWidth="1"/>
    <col min="8" max="9" width="2.42578125" style="3" customWidth="1"/>
    <col min="10" max="10" width="2.7109375" style="3" customWidth="1"/>
    <col min="11" max="11" width="14.5703125" style="3" customWidth="1"/>
    <col min="12" max="12" width="2.7109375" style="3" customWidth="1"/>
    <col min="13" max="13" width="15.42578125" style="3" bestFit="1" customWidth="1"/>
    <col min="14" max="15" width="1.28515625" style="3" customWidth="1"/>
    <col min="16" max="16" width="12.7109375" style="3" bestFit="1" customWidth="1"/>
    <col min="17" max="19" width="1.28515625" style="3" customWidth="1"/>
    <col min="20" max="20" width="10.140625" style="3" bestFit="1" customWidth="1"/>
    <col min="21" max="21" width="11.140625" style="3" bestFit="1" customWidth="1"/>
    <col min="22" max="22" width="9.140625" style="3"/>
    <col min="23" max="23" width="14.5703125" style="3" customWidth="1"/>
    <col min="24" max="24" width="19" style="3" customWidth="1"/>
    <col min="25" max="16384" width="9.140625" style="3"/>
  </cols>
  <sheetData>
    <row r="1" spans="1:21" ht="21" thickBot="1" x14ac:dyDescent="0.35">
      <c r="A1" s="37" t="s">
        <v>9</v>
      </c>
      <c r="B1" s="1"/>
      <c r="C1" s="1"/>
      <c r="D1" s="1"/>
      <c r="E1" s="1"/>
      <c r="F1" s="1"/>
      <c r="G1" s="455"/>
      <c r="H1" s="455"/>
      <c r="I1" s="455"/>
      <c r="J1" s="455"/>
      <c r="K1" s="455"/>
      <c r="L1" s="455"/>
      <c r="M1" s="455"/>
      <c r="N1" s="1"/>
      <c r="O1" s="1"/>
      <c r="P1" s="1"/>
      <c r="Q1" s="1"/>
      <c r="R1" s="1"/>
      <c r="S1" s="2" t="s">
        <v>261</v>
      </c>
      <c r="U1" s="191"/>
    </row>
    <row r="2" spans="1:21" ht="25.5" x14ac:dyDescent="0.35">
      <c r="A2" s="4" t="s">
        <v>145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s="6" customFormat="1" ht="15.75" x14ac:dyDescent="0.2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1" s="6" customFormat="1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 ht="8.1" customHeight="1" thickBot="1" x14ac:dyDescent="0.55000000000000004">
      <c r="L5" s="8"/>
      <c r="M5" s="8"/>
      <c r="N5" s="8"/>
      <c r="O5" s="8"/>
      <c r="P5" s="8"/>
      <c r="Q5" s="8"/>
      <c r="R5" s="8"/>
      <c r="S5" s="8"/>
    </row>
    <row r="6" spans="1:21" ht="8.1" customHeight="1" thickTop="1" x14ac:dyDescent="0.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2"/>
      <c r="Q6" s="12"/>
      <c r="R6" s="12"/>
      <c r="S6" s="13"/>
    </row>
    <row r="7" spans="1:21" ht="30" customHeigh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M7" s="16" t="s">
        <v>1</v>
      </c>
      <c r="N7" s="17"/>
      <c r="P7" s="18" t="s">
        <v>3</v>
      </c>
      <c r="Q7" s="19"/>
      <c r="R7" s="19"/>
      <c r="S7" s="20"/>
    </row>
    <row r="8" spans="1:21" ht="15" customHeight="1" x14ac:dyDescent="0.2">
      <c r="A8" s="14"/>
      <c r="B8" s="7"/>
      <c r="C8" s="7"/>
      <c r="D8" s="7"/>
      <c r="E8" s="7"/>
      <c r="F8" s="7"/>
      <c r="G8" s="7"/>
      <c r="H8" s="7"/>
      <c r="I8" s="7"/>
      <c r="J8" s="7"/>
      <c r="M8" s="7"/>
      <c r="N8" s="7"/>
      <c r="P8" s="7"/>
      <c r="Q8" s="7"/>
      <c r="R8" s="7"/>
      <c r="S8" s="21"/>
    </row>
    <row r="9" spans="1:21" ht="15" customHeight="1" x14ac:dyDescent="0.25">
      <c r="A9" s="14"/>
      <c r="B9" s="15" t="s">
        <v>166</v>
      </c>
      <c r="C9" s="15"/>
      <c r="D9" s="15"/>
      <c r="E9" s="15"/>
      <c r="F9" s="15"/>
      <c r="G9" s="15"/>
      <c r="H9" s="15"/>
      <c r="I9" s="15"/>
      <c r="J9" s="15"/>
      <c r="M9" s="355">
        <v>1113052400</v>
      </c>
      <c r="N9" s="22"/>
      <c r="P9" s="17"/>
      <c r="Q9" s="15"/>
      <c r="R9" s="15"/>
      <c r="S9" s="20"/>
    </row>
    <row r="10" spans="1:21" ht="15" customHeight="1" x14ac:dyDescent="0.25">
      <c r="A10" s="14"/>
      <c r="B10" s="17"/>
      <c r="C10" s="17" t="s">
        <v>167</v>
      </c>
      <c r="D10" s="17"/>
      <c r="E10" s="17"/>
      <c r="F10" s="17"/>
      <c r="G10" s="17"/>
      <c r="H10" s="17"/>
      <c r="I10" s="17"/>
      <c r="J10" s="17"/>
      <c r="M10" s="356">
        <v>7394800</v>
      </c>
      <c r="N10" s="17"/>
      <c r="P10" s="36"/>
      <c r="Q10" s="17"/>
      <c r="R10" s="17"/>
      <c r="S10" s="20"/>
    </row>
    <row r="11" spans="1:21" ht="15" customHeight="1" x14ac:dyDescent="0.25">
      <c r="A11" s="14"/>
      <c r="B11" s="15" t="s">
        <v>168</v>
      </c>
      <c r="C11" s="15"/>
      <c r="D11" s="15"/>
      <c r="E11" s="15"/>
      <c r="F11" s="15"/>
      <c r="G11" s="15"/>
      <c r="H11" s="15"/>
      <c r="I11" s="15"/>
      <c r="J11" s="15"/>
      <c r="M11" s="355">
        <f>+M10+M9</f>
        <v>1120447200</v>
      </c>
      <c r="N11" s="17"/>
      <c r="P11" s="17"/>
      <c r="Q11" s="15"/>
      <c r="R11" s="15"/>
      <c r="S11" s="20"/>
    </row>
    <row r="12" spans="1:21" ht="15" customHeight="1" x14ac:dyDescent="0.25">
      <c r="A12" s="14"/>
      <c r="B12" s="17"/>
      <c r="C12" s="17" t="s">
        <v>178</v>
      </c>
      <c r="D12" s="17"/>
      <c r="E12" s="17"/>
      <c r="F12" s="17"/>
      <c r="G12" s="17"/>
      <c r="H12" s="17"/>
      <c r="I12" s="17"/>
      <c r="J12" s="17"/>
      <c r="M12" s="356">
        <v>-9220000</v>
      </c>
      <c r="N12" s="17"/>
      <c r="P12" s="17"/>
      <c r="Q12" s="17"/>
      <c r="R12" s="17"/>
      <c r="S12" s="20"/>
    </row>
    <row r="13" spans="1:21" ht="15" customHeight="1" x14ac:dyDescent="0.25">
      <c r="A13" s="14"/>
      <c r="B13" s="15" t="s">
        <v>179</v>
      </c>
      <c r="C13" s="17"/>
      <c r="D13" s="17"/>
      <c r="E13" s="17"/>
      <c r="F13" s="17"/>
      <c r="G13" s="17"/>
      <c r="H13" s="17"/>
      <c r="I13" s="17"/>
      <c r="J13" s="17"/>
      <c r="M13" s="355">
        <f>+M12+M11</f>
        <v>1111227200</v>
      </c>
      <c r="N13" s="17"/>
      <c r="P13" s="23"/>
      <c r="Q13" s="17"/>
      <c r="R13" s="17"/>
      <c r="S13" s="20"/>
    </row>
    <row r="14" spans="1:21" ht="15" customHeight="1" x14ac:dyDescent="0.25">
      <c r="A14" s="14"/>
      <c r="B14" s="15"/>
      <c r="C14" s="17" t="s">
        <v>180</v>
      </c>
      <c r="D14" s="17"/>
      <c r="E14" s="17"/>
      <c r="F14" s="17"/>
      <c r="G14" s="17"/>
      <c r="H14" s="17"/>
      <c r="I14" s="17"/>
      <c r="J14" s="17"/>
      <c r="M14" s="356">
        <v>96487300</v>
      </c>
      <c r="N14" s="17"/>
      <c r="P14" s="23">
        <f>+M14/M13</f>
        <v>8.6829498054043316E-2</v>
      </c>
      <c r="Q14" s="17"/>
      <c r="R14" s="17"/>
      <c r="S14" s="20"/>
    </row>
    <row r="15" spans="1:21" ht="15" customHeight="1" x14ac:dyDescent="0.25">
      <c r="A15" s="14"/>
      <c r="B15" s="17"/>
      <c r="C15" s="17" t="s">
        <v>170</v>
      </c>
      <c r="D15" s="17"/>
      <c r="E15" s="17"/>
      <c r="F15" s="17"/>
      <c r="G15" s="17"/>
      <c r="H15" s="17"/>
      <c r="I15" s="17"/>
      <c r="J15" s="17"/>
      <c r="M15" s="356">
        <v>2442100</v>
      </c>
      <c r="N15" s="17"/>
      <c r="P15" s="23">
        <f>+M15/M13</f>
        <v>2.1976603884426155E-3</v>
      </c>
      <c r="Q15" s="17"/>
      <c r="R15" s="17"/>
      <c r="S15" s="20"/>
    </row>
    <row r="16" spans="1:21" ht="15" customHeight="1" x14ac:dyDescent="0.25">
      <c r="A16" s="14"/>
      <c r="B16" s="15" t="s">
        <v>181</v>
      </c>
      <c r="M16" s="357">
        <f>SUM(M13:M15)</f>
        <v>1210156600</v>
      </c>
      <c r="N16" s="17"/>
      <c r="P16" s="23">
        <f>(M15+M14)/M13</f>
        <v>8.9027158442485932E-2</v>
      </c>
      <c r="Q16" s="17"/>
      <c r="R16" s="17"/>
      <c r="S16" s="20"/>
    </row>
    <row r="17" spans="1:21" ht="15" customHeight="1" thickBot="1" x14ac:dyDescent="0.2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1:21" ht="15" customHeight="1" thickTop="1" x14ac:dyDescent="0.2">
      <c r="A18" s="27"/>
    </row>
    <row r="19" spans="1:21" ht="15" customHeight="1" x14ac:dyDescent="0.25">
      <c r="A19" s="28" t="s">
        <v>171</v>
      </c>
      <c r="B19" s="28"/>
      <c r="I19" s="28" t="s">
        <v>172</v>
      </c>
      <c r="J19" s="28"/>
      <c r="K19" s="30"/>
    </row>
    <row r="20" spans="1:21" ht="15" customHeight="1" x14ac:dyDescent="0.25">
      <c r="B20" s="269" t="s">
        <v>7</v>
      </c>
      <c r="C20" s="251"/>
      <c r="D20" s="222"/>
      <c r="E20" s="222"/>
      <c r="F20" s="222"/>
      <c r="G20" s="359">
        <v>31601200</v>
      </c>
      <c r="J20" s="358" t="s">
        <v>200</v>
      </c>
      <c r="K20" s="222"/>
      <c r="L20" s="30"/>
      <c r="M20" s="222"/>
      <c r="N20" s="222"/>
      <c r="O20" s="222"/>
      <c r="P20" s="359">
        <v>1800000</v>
      </c>
      <c r="Q20" s="29"/>
      <c r="R20" s="29"/>
    </row>
    <row r="21" spans="1:21" ht="15" customHeight="1" x14ac:dyDescent="0.25">
      <c r="B21" s="269" t="s">
        <v>127</v>
      </c>
      <c r="C21" s="225"/>
      <c r="D21" s="225"/>
      <c r="E21" s="225"/>
      <c r="F21" s="225"/>
      <c r="G21" s="359">
        <v>29500000</v>
      </c>
      <c r="J21" s="358" t="s">
        <v>199</v>
      </c>
      <c r="K21" s="222"/>
      <c r="L21" s="222"/>
      <c r="M21" s="222"/>
      <c r="N21" s="222"/>
      <c r="O21" s="222"/>
      <c r="P21" s="359">
        <v>1500000</v>
      </c>
      <c r="Q21" s="29"/>
      <c r="R21" s="29"/>
      <c r="T21" s="214"/>
    </row>
    <row r="22" spans="1:21" ht="15" customHeight="1" x14ac:dyDescent="0.25">
      <c r="A22" s="29"/>
      <c r="B22" s="269" t="s">
        <v>197</v>
      </c>
      <c r="C22" s="251"/>
      <c r="D22" s="222"/>
      <c r="E22" s="222"/>
      <c r="F22" s="222"/>
      <c r="G22" s="270">
        <v>5201600</v>
      </c>
      <c r="J22" s="176" t="s">
        <v>146</v>
      </c>
      <c r="K22" s="30"/>
      <c r="L22" s="223"/>
      <c r="M22" s="224"/>
      <c r="N22" s="223"/>
      <c r="O22" s="223"/>
      <c r="P22" s="222">
        <v>807700</v>
      </c>
      <c r="Q22" s="34"/>
      <c r="R22" s="34"/>
      <c r="T22" s="191"/>
    </row>
    <row r="23" spans="1:21" ht="15" customHeight="1" x14ac:dyDescent="0.25">
      <c r="A23" s="29"/>
      <c r="B23" s="176" t="s">
        <v>140</v>
      </c>
      <c r="C23" s="225"/>
      <c r="D23" s="225"/>
      <c r="E23" s="225"/>
      <c r="F23" s="225"/>
      <c r="G23" s="222">
        <v>5000000</v>
      </c>
      <c r="J23" s="358" t="s">
        <v>161</v>
      </c>
      <c r="K23" s="30"/>
      <c r="L23" s="223"/>
      <c r="M23" s="224"/>
      <c r="N23" s="223"/>
      <c r="O23" s="223"/>
      <c r="P23" s="222">
        <v>500000</v>
      </c>
      <c r="Q23" s="31"/>
      <c r="R23" s="31"/>
    </row>
    <row r="24" spans="1:21" ht="15" customHeight="1" x14ac:dyDescent="0.25">
      <c r="A24" s="29"/>
      <c r="B24" s="269" t="s">
        <v>198</v>
      </c>
      <c r="C24" s="251"/>
      <c r="D24" s="222"/>
      <c r="E24" s="222"/>
      <c r="F24" s="222"/>
      <c r="G24" s="270">
        <v>5000000</v>
      </c>
      <c r="J24" s="358" t="s">
        <v>175</v>
      </c>
      <c r="P24" s="359">
        <v>500000</v>
      </c>
      <c r="Q24" s="35"/>
      <c r="R24" s="35"/>
    </row>
    <row r="25" spans="1:21" ht="15" customHeight="1" x14ac:dyDescent="0.25">
      <c r="A25" s="29"/>
      <c r="B25" s="176" t="s">
        <v>182</v>
      </c>
      <c r="C25" s="213"/>
      <c r="D25" s="225"/>
      <c r="E25" s="225"/>
      <c r="F25" s="225"/>
      <c r="G25" s="270">
        <v>4500000</v>
      </c>
      <c r="I25" s="29"/>
      <c r="J25" s="358" t="s">
        <v>163</v>
      </c>
      <c r="K25" s="222"/>
      <c r="L25" s="222"/>
      <c r="M25" s="222"/>
      <c r="N25" s="222"/>
      <c r="O25" s="222">
        <v>10000</v>
      </c>
      <c r="P25" s="359">
        <v>300000</v>
      </c>
      <c r="Q25" s="34"/>
      <c r="R25" s="34"/>
      <c r="U25" s="33"/>
    </row>
    <row r="26" spans="1:21" ht="15" customHeight="1" x14ac:dyDescent="0.25">
      <c r="A26" s="29"/>
      <c r="B26" s="222" t="s">
        <v>153</v>
      </c>
      <c r="C26" s="225"/>
      <c r="D26" s="225"/>
      <c r="E26" s="225"/>
      <c r="F26" s="225"/>
      <c r="G26" s="222">
        <v>2093400</v>
      </c>
      <c r="J26" s="358" t="s">
        <v>156</v>
      </c>
      <c r="K26" s="251"/>
      <c r="L26" s="222"/>
      <c r="M26" s="222"/>
      <c r="N26" s="222"/>
      <c r="O26" s="270"/>
      <c r="P26" s="359">
        <v>300000</v>
      </c>
      <c r="R26" s="34"/>
    </row>
    <row r="27" spans="1:21" ht="15" customHeight="1" x14ac:dyDescent="0.25">
      <c r="A27" s="29"/>
      <c r="B27" s="222" t="s">
        <v>154</v>
      </c>
      <c r="C27" s="222"/>
      <c r="D27" s="222"/>
      <c r="E27" s="222"/>
      <c r="F27" s="222"/>
      <c r="G27" s="360">
        <v>1337800</v>
      </c>
      <c r="I27" s="191"/>
      <c r="J27" s="358" t="s">
        <v>164</v>
      </c>
      <c r="K27" s="30"/>
      <c r="L27" s="223"/>
      <c r="M27" s="224"/>
      <c r="N27" s="223"/>
      <c r="O27" s="223"/>
      <c r="P27" s="222">
        <v>300000</v>
      </c>
      <c r="R27" s="34"/>
    </row>
    <row r="28" spans="1:21" ht="15" customHeight="1" x14ac:dyDescent="0.25">
      <c r="A28" s="29"/>
      <c r="B28" s="269" t="s">
        <v>147</v>
      </c>
      <c r="C28" s="213"/>
      <c r="D28" s="225"/>
      <c r="E28" s="225"/>
      <c r="F28" s="225"/>
      <c r="G28" s="360">
        <v>1220000</v>
      </c>
      <c r="J28" s="358" t="s">
        <v>185</v>
      </c>
      <c r="K28" s="30"/>
      <c r="L28" s="223"/>
      <c r="M28" s="224"/>
      <c r="N28" s="223"/>
      <c r="O28" s="223"/>
      <c r="P28" s="222">
        <v>300000</v>
      </c>
      <c r="R28" s="34"/>
    </row>
    <row r="29" spans="1:21" ht="15" customHeight="1" x14ac:dyDescent="0.25">
      <c r="A29" s="29"/>
      <c r="B29" s="176" t="s">
        <v>159</v>
      </c>
      <c r="C29" s="213"/>
      <c r="D29" s="225"/>
      <c r="E29" s="225"/>
      <c r="F29" s="225"/>
      <c r="G29" s="270">
        <v>1200000</v>
      </c>
      <c r="J29" s="358" t="s">
        <v>165</v>
      </c>
      <c r="K29" s="30"/>
      <c r="L29" s="223"/>
      <c r="M29" s="224"/>
      <c r="N29" s="223"/>
      <c r="O29" s="223"/>
      <c r="P29" s="222">
        <v>250000</v>
      </c>
      <c r="R29" s="34"/>
    </row>
    <row r="30" spans="1:21" ht="15" customHeight="1" x14ac:dyDescent="0.25">
      <c r="A30" s="29"/>
      <c r="B30" s="222" t="s">
        <v>141</v>
      </c>
      <c r="G30" s="361">
        <v>1000000</v>
      </c>
      <c r="J30" s="358" t="s">
        <v>162</v>
      </c>
      <c r="K30" s="30"/>
      <c r="L30" s="223"/>
      <c r="M30" s="224"/>
      <c r="N30" s="223"/>
      <c r="O30" s="223"/>
      <c r="P30" s="222">
        <v>149900</v>
      </c>
      <c r="R30" s="34"/>
    </row>
    <row r="31" spans="1:21" ht="15" customHeight="1" x14ac:dyDescent="0.25">
      <c r="A31" s="29"/>
      <c r="B31" s="176" t="s">
        <v>139</v>
      </c>
      <c r="C31" s="225"/>
      <c r="D31" s="225"/>
      <c r="E31" s="225"/>
      <c r="F31" s="225"/>
      <c r="G31" s="361">
        <v>1000000</v>
      </c>
      <c r="J31" s="176" t="s">
        <v>201</v>
      </c>
      <c r="P31" s="359">
        <v>-4265500</v>
      </c>
      <c r="R31" s="34"/>
    </row>
    <row r="32" spans="1:21" ht="15" customHeight="1" x14ac:dyDescent="0.25">
      <c r="A32" s="29"/>
      <c r="B32" s="176" t="s">
        <v>157</v>
      </c>
      <c r="C32" s="213"/>
      <c r="D32" s="225"/>
      <c r="E32" s="225"/>
      <c r="F32" s="225"/>
      <c r="G32" s="270">
        <v>950000</v>
      </c>
      <c r="R32" s="34"/>
    </row>
    <row r="33" spans="1:18" ht="15" customHeight="1" x14ac:dyDescent="0.25">
      <c r="A33" s="29"/>
      <c r="B33" s="269" t="s">
        <v>183</v>
      </c>
      <c r="C33" s="251"/>
      <c r="D33" s="222"/>
      <c r="E33" s="222"/>
      <c r="F33" s="222"/>
      <c r="G33" s="270">
        <v>880000</v>
      </c>
      <c r="R33" s="34"/>
    </row>
    <row r="34" spans="1:18" ht="15" customHeight="1" x14ac:dyDescent="0.25">
      <c r="A34" s="29"/>
      <c r="B34" s="176" t="s">
        <v>152</v>
      </c>
      <c r="C34" s="213"/>
      <c r="D34" s="225"/>
      <c r="E34" s="225"/>
      <c r="F34" s="225"/>
      <c r="G34" s="270">
        <v>827300</v>
      </c>
      <c r="R34" s="34"/>
    </row>
    <row r="35" spans="1:18" ht="15" customHeight="1" x14ac:dyDescent="0.25">
      <c r="A35" s="29"/>
      <c r="B35" s="269" t="s">
        <v>146</v>
      </c>
      <c r="C35" s="213"/>
      <c r="D35" s="225"/>
      <c r="E35" s="225"/>
      <c r="F35" s="225"/>
      <c r="G35" s="360">
        <v>807700</v>
      </c>
      <c r="R35" s="34"/>
    </row>
    <row r="36" spans="1:18" ht="15" customHeight="1" x14ac:dyDescent="0.25">
      <c r="A36" s="29"/>
      <c r="B36" s="269" t="s">
        <v>151</v>
      </c>
      <c r="C36" s="213"/>
      <c r="D36" s="225"/>
      <c r="E36" s="225"/>
      <c r="F36" s="225"/>
      <c r="G36" s="360">
        <v>800000</v>
      </c>
      <c r="J36" s="176"/>
      <c r="K36" s="30"/>
      <c r="L36" s="223"/>
      <c r="M36" s="224"/>
      <c r="N36" s="223"/>
      <c r="O36" s="223"/>
      <c r="P36" s="222"/>
      <c r="R36" s="34"/>
    </row>
    <row r="37" spans="1:18" ht="15" customHeight="1" x14ac:dyDescent="0.25">
      <c r="A37" s="29"/>
      <c r="B37" s="176" t="s">
        <v>195</v>
      </c>
      <c r="G37" s="360">
        <v>787000</v>
      </c>
      <c r="J37" s="176"/>
      <c r="K37" s="30"/>
      <c r="L37" s="223"/>
      <c r="M37" s="224"/>
      <c r="N37" s="223"/>
      <c r="O37" s="223"/>
      <c r="P37" s="222"/>
      <c r="R37" s="34"/>
    </row>
    <row r="38" spans="1:18" ht="15" customHeight="1" x14ac:dyDescent="0.25">
      <c r="A38" s="29"/>
      <c r="B38" s="269" t="s">
        <v>148</v>
      </c>
      <c r="C38" s="213"/>
      <c r="D38" s="225"/>
      <c r="E38" s="225"/>
      <c r="F38" s="225"/>
      <c r="G38" s="361">
        <v>616500</v>
      </c>
      <c r="R38" s="34"/>
    </row>
    <row r="39" spans="1:18" ht="15" customHeight="1" x14ac:dyDescent="0.25">
      <c r="A39" s="29"/>
      <c r="B39" s="269" t="s">
        <v>149</v>
      </c>
      <c r="C39" s="213"/>
      <c r="D39" s="225"/>
      <c r="E39" s="225"/>
      <c r="F39" s="225"/>
      <c r="G39" s="360">
        <v>600000</v>
      </c>
      <c r="R39" s="34"/>
    </row>
    <row r="40" spans="1:18" ht="15" customHeight="1" x14ac:dyDescent="0.25">
      <c r="A40" s="29"/>
      <c r="B40" s="358" t="s">
        <v>174</v>
      </c>
      <c r="C40" s="213"/>
      <c r="D40" s="225"/>
      <c r="E40" s="225"/>
      <c r="F40" s="225"/>
      <c r="G40" s="270">
        <v>500000</v>
      </c>
      <c r="H40" s="225"/>
      <c r="J40" s="176"/>
      <c r="K40" s="30"/>
      <c r="L40" s="223"/>
      <c r="M40" s="224"/>
      <c r="N40" s="223"/>
      <c r="O40" s="223"/>
      <c r="P40" s="222"/>
      <c r="R40" s="34"/>
    </row>
    <row r="41" spans="1:18" ht="15" customHeight="1" x14ac:dyDescent="0.25">
      <c r="A41" s="29"/>
      <c r="B41" s="358" t="s">
        <v>196</v>
      </c>
      <c r="G41" s="3">
        <v>250000</v>
      </c>
      <c r="H41" s="225"/>
      <c r="R41" s="34"/>
    </row>
    <row r="42" spans="1:18" ht="15" customHeight="1" x14ac:dyDescent="0.25">
      <c r="A42" s="29"/>
      <c r="B42" s="269" t="s">
        <v>155</v>
      </c>
      <c r="C42" s="213"/>
      <c r="D42" s="225"/>
      <c r="E42" s="225"/>
      <c r="F42" s="225"/>
      <c r="G42" s="360">
        <v>214800</v>
      </c>
      <c r="H42" s="225"/>
      <c r="J42" s="176"/>
      <c r="K42" s="30"/>
      <c r="L42" s="223"/>
      <c r="M42" s="224"/>
      <c r="N42" s="223"/>
      <c r="O42" s="223"/>
      <c r="P42" s="222"/>
      <c r="R42" s="34"/>
    </row>
    <row r="43" spans="1:18" ht="15" customHeight="1" x14ac:dyDescent="0.25">
      <c r="A43" s="29"/>
      <c r="B43" s="269" t="s">
        <v>150</v>
      </c>
      <c r="C43" s="213"/>
      <c r="D43" s="225"/>
      <c r="E43" s="225"/>
      <c r="F43" s="225"/>
      <c r="G43" s="360">
        <v>200000</v>
      </c>
      <c r="H43" s="225"/>
      <c r="J43" s="176"/>
      <c r="K43" s="30"/>
      <c r="L43" s="223"/>
      <c r="M43" s="224"/>
      <c r="N43" s="223"/>
      <c r="O43" s="223"/>
      <c r="P43" s="222"/>
      <c r="R43" s="34"/>
    </row>
    <row r="44" spans="1:18" ht="15" customHeight="1" x14ac:dyDescent="0.25">
      <c r="A44" s="29"/>
      <c r="B44" s="176" t="s">
        <v>160</v>
      </c>
      <c r="C44" s="213"/>
      <c r="D44" s="225"/>
      <c r="E44" s="225"/>
      <c r="F44" s="225"/>
      <c r="G44" s="270">
        <v>200000</v>
      </c>
      <c r="H44" s="225"/>
      <c r="J44" s="176"/>
      <c r="K44" s="30"/>
      <c r="L44" s="223"/>
      <c r="M44" s="224"/>
      <c r="N44" s="223"/>
      <c r="O44" s="223"/>
      <c r="P44" s="222"/>
      <c r="R44" s="34"/>
    </row>
    <row r="45" spans="1:18" ht="15" customHeight="1" x14ac:dyDescent="0.25">
      <c r="A45" s="29"/>
      <c r="B45" s="176" t="s">
        <v>158</v>
      </c>
      <c r="C45" s="213"/>
      <c r="D45" s="225"/>
      <c r="E45" s="225"/>
      <c r="F45" s="225"/>
      <c r="G45" s="270">
        <v>125000</v>
      </c>
      <c r="H45" s="225"/>
      <c r="J45" s="176"/>
      <c r="K45" s="30"/>
      <c r="L45" s="223"/>
      <c r="M45" s="224"/>
      <c r="N45" s="223"/>
      <c r="O45" s="223"/>
      <c r="P45" s="222"/>
      <c r="R45" s="34"/>
    </row>
    <row r="46" spans="1:18" ht="15" customHeight="1" x14ac:dyDescent="0.25">
      <c r="A46" s="29"/>
      <c r="B46" s="176" t="s">
        <v>184</v>
      </c>
      <c r="G46" s="3">
        <v>75000</v>
      </c>
      <c r="H46" s="225"/>
      <c r="J46" s="176"/>
      <c r="K46" s="30"/>
      <c r="L46" s="223"/>
      <c r="M46" s="224"/>
      <c r="N46" s="223"/>
      <c r="O46" s="223"/>
      <c r="P46" s="222"/>
      <c r="R46" s="34"/>
    </row>
    <row r="47" spans="1:18" ht="15" customHeight="1" x14ac:dyDescent="0.25">
      <c r="A47" s="29"/>
      <c r="B47" s="222"/>
      <c r="C47" s="222"/>
      <c r="D47" s="222"/>
      <c r="E47" s="222"/>
      <c r="F47" s="222"/>
      <c r="G47" s="222"/>
      <c r="H47" s="225"/>
      <c r="J47" s="176"/>
      <c r="K47" s="30"/>
      <c r="L47" s="223"/>
      <c r="M47" s="224"/>
      <c r="N47" s="223"/>
      <c r="O47" s="223"/>
      <c r="P47" s="222"/>
      <c r="R47" s="34"/>
    </row>
    <row r="48" spans="1:18" ht="15" customHeight="1" thickBot="1" x14ac:dyDescent="0.25">
      <c r="A48" s="29"/>
      <c r="B48" s="29" t="s">
        <v>2</v>
      </c>
      <c r="G48" s="32">
        <f>SUM(G20:G46)</f>
        <v>96487300</v>
      </c>
      <c r="J48" s="29" t="s">
        <v>103</v>
      </c>
      <c r="P48" s="272">
        <f>SUM(P20:P31)</f>
        <v>2442100</v>
      </c>
      <c r="R48" s="34"/>
    </row>
    <row r="49" spans="1:18" ht="15" customHeight="1" thickTop="1" x14ac:dyDescent="0.2">
      <c r="A49" s="29"/>
      <c r="R49" s="34"/>
    </row>
    <row r="50" spans="1:18" ht="15" customHeight="1" x14ac:dyDescent="0.2">
      <c r="A50" s="29"/>
      <c r="R50" s="34"/>
    </row>
    <row r="51" spans="1:18" ht="15" customHeight="1" x14ac:dyDescent="0.2">
      <c r="A51" s="29"/>
      <c r="R51" s="34"/>
    </row>
    <row r="52" spans="1:18" ht="15" customHeight="1" x14ac:dyDescent="0.2">
      <c r="A52" s="29"/>
      <c r="R52" s="34"/>
    </row>
    <row r="53" spans="1:18" ht="15" customHeight="1" x14ac:dyDescent="0.2">
      <c r="A53" s="29"/>
      <c r="R53" s="34"/>
    </row>
    <row r="54" spans="1:18" ht="15" customHeight="1" x14ac:dyDescent="0.2">
      <c r="J54" s="29"/>
      <c r="K54" s="29"/>
      <c r="L54" s="29"/>
      <c r="P54" s="29"/>
      <c r="R54" s="34"/>
    </row>
    <row r="55" spans="1:18" ht="15" customHeight="1" x14ac:dyDescent="0.2">
      <c r="J55" s="29"/>
      <c r="K55" s="29"/>
      <c r="L55" s="29"/>
      <c r="P55" s="29"/>
      <c r="R55" s="34"/>
    </row>
    <row r="56" spans="1:18" ht="15" customHeight="1" x14ac:dyDescent="0.2">
      <c r="A56" s="29"/>
      <c r="J56" s="29"/>
      <c r="P56" s="29"/>
      <c r="Q56" s="31">
        <v>4000000</v>
      </c>
    </row>
    <row r="57" spans="1:18" ht="15" customHeight="1" x14ac:dyDescent="0.25">
      <c r="B57" s="176"/>
    </row>
    <row r="58" spans="1:18" ht="15" customHeight="1" x14ac:dyDescent="0.2">
      <c r="B58" s="29"/>
      <c r="P58" s="9"/>
    </row>
    <row r="59" spans="1:18" ht="15" customHeight="1" x14ac:dyDescent="0.2">
      <c r="B59" s="29"/>
      <c r="P59" s="9"/>
    </row>
    <row r="60" spans="1:18" ht="15" customHeight="1" x14ac:dyDescent="0.2">
      <c r="I60" s="29"/>
      <c r="J60" s="29"/>
      <c r="K60" s="29"/>
      <c r="M60" s="29"/>
      <c r="P60" s="34"/>
    </row>
    <row r="61" spans="1:18" ht="15" customHeight="1" x14ac:dyDescent="0.2">
      <c r="A61" s="28"/>
      <c r="B61" s="29"/>
    </row>
    <row r="62" spans="1:18" ht="15" customHeight="1" x14ac:dyDescent="0.2"/>
    <row r="63" spans="1:18" ht="15" customHeight="1" x14ac:dyDescent="0.2"/>
    <row r="64" spans="1:18" ht="15" customHeight="1" x14ac:dyDescent="0.25">
      <c r="K64" s="30"/>
    </row>
    <row r="65" spans="11:11" ht="15" customHeight="1" x14ac:dyDescent="0.25">
      <c r="K65" s="30"/>
    </row>
    <row r="66" spans="11:11" ht="15" customHeight="1" x14ac:dyDescent="0.25">
      <c r="K66" s="30"/>
    </row>
    <row r="67" spans="11:11" ht="6" customHeight="1" x14ac:dyDescent="0.25">
      <c r="K67" s="30"/>
    </row>
    <row r="68" spans="11:11" ht="13.5" x14ac:dyDescent="0.25">
      <c r="K68" s="30"/>
    </row>
    <row r="69" spans="11:11" ht="15" customHeight="1" x14ac:dyDescent="0.25">
      <c r="K69" s="30"/>
    </row>
    <row r="70" spans="11:11" ht="15" customHeight="1" x14ac:dyDescent="0.25">
      <c r="K70" s="30"/>
    </row>
    <row r="71" spans="11:11" ht="14.1" customHeight="1" x14ac:dyDescent="0.25">
      <c r="K71" s="30"/>
    </row>
    <row r="72" spans="11:11" ht="14.1" customHeight="1" x14ac:dyDescent="0.2"/>
    <row r="73" spans="11:11" ht="14.1" customHeight="1" x14ac:dyDescent="0.2"/>
    <row r="74" spans="11:11" ht="14.1" customHeight="1" x14ac:dyDescent="0.2"/>
    <row r="75" spans="11:11" ht="14.1" customHeight="1" x14ac:dyDescent="0.2"/>
    <row r="76" spans="11:11" ht="14.1" customHeight="1" x14ac:dyDescent="0.2"/>
    <row r="77" spans="11:11" ht="14.1" customHeight="1" x14ac:dyDescent="0.2"/>
    <row r="78" spans="11:11" ht="14.1" customHeight="1" x14ac:dyDescent="0.2"/>
    <row r="79" spans="11:11" ht="14.1" customHeight="1" x14ac:dyDescent="0.2"/>
    <row r="80" spans="11:11" ht="14.1" customHeight="1" x14ac:dyDescent="0.2"/>
    <row r="81" ht="14.1" customHeight="1" x14ac:dyDescent="0.2"/>
    <row r="82" ht="6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6" customHeight="1" x14ac:dyDescent="0.2"/>
  </sheetData>
  <sortState xmlns:xlrd2="http://schemas.microsoft.com/office/spreadsheetml/2017/richdata2" ref="J20:P31">
    <sortCondition descending="1" ref="P20:P31"/>
  </sortState>
  <mergeCells count="1">
    <mergeCell ref="G1:M1"/>
  </mergeCells>
  <pageMargins left="0.7" right="0.7" top="0.7" bottom="0.7" header="0.5" footer="0.25"/>
  <pageSetup scale="88" orientation="portrait" r:id="rId1"/>
  <headerFooter alignWithMargins="0">
    <oddFooter>&amp;L&amp;"Arial Narrow,Regular"BLS&amp;C&amp;"Arial Narrow,Regular"Utah System of Higher Education&amp;R&amp;"Arial Narrow,Regular"Page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4B87-2A0D-4C10-9342-3FF622E3618D}">
  <sheetPr>
    <pageSetUpPr fitToPage="1"/>
  </sheetPr>
  <dimension ref="A1:U49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11" ht="19.5" customHeight="1" thickBot="1" x14ac:dyDescent="0.3">
      <c r="A1" s="37" t="s">
        <v>32</v>
      </c>
      <c r="B1" s="157"/>
      <c r="C1" s="157"/>
      <c r="D1" s="157"/>
      <c r="E1" s="157"/>
      <c r="F1" s="158" t="str">
        <f>+'USHE-GOV'!N1</f>
        <v>December 6, 2024</v>
      </c>
      <c r="G1" s="404">
        <v>45201600</v>
      </c>
      <c r="H1" s="354"/>
      <c r="K1" s="352"/>
    </row>
    <row r="2" spans="1:1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11" ht="15.75" x14ac:dyDescent="0.25">
      <c r="A3" s="463" t="s">
        <v>214</v>
      </c>
      <c r="B3" s="463"/>
      <c r="C3" s="463"/>
      <c r="D3" s="463"/>
      <c r="E3" s="463"/>
      <c r="F3" s="373"/>
    </row>
    <row r="4" spans="1:11" ht="15.75" x14ac:dyDescent="0.25">
      <c r="A4" s="486"/>
      <c r="B4" s="486"/>
      <c r="C4" s="486"/>
      <c r="D4" s="486"/>
      <c r="E4" s="486"/>
      <c r="F4" s="374"/>
    </row>
    <row r="5" spans="1:1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11" x14ac:dyDescent="0.25">
      <c r="A6" s="468"/>
      <c r="B6" s="469"/>
      <c r="C6" s="469"/>
      <c r="D6" s="469"/>
      <c r="E6" s="470"/>
      <c r="F6" s="485"/>
      <c r="K6" s="291"/>
    </row>
    <row r="7" spans="1:11" ht="15.75" customHeight="1" x14ac:dyDescent="0.35">
      <c r="A7" s="219"/>
      <c r="B7" s="292"/>
      <c r="C7" s="292"/>
      <c r="D7" s="292"/>
      <c r="E7" s="293"/>
      <c r="F7" s="375"/>
    </row>
    <row r="8" spans="1:1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1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1214400</v>
      </c>
      <c r="G9" s="363"/>
    </row>
    <row r="10" spans="1:11" ht="15.75" customHeight="1" x14ac:dyDescent="0.25">
      <c r="A10" s="171"/>
      <c r="B10" s="300"/>
      <c r="C10" s="164"/>
      <c r="D10" s="166" t="s">
        <v>317</v>
      </c>
      <c r="E10" s="162"/>
      <c r="F10" s="376">
        <v>851100</v>
      </c>
    </row>
    <row r="11" spans="1:11" ht="15.75" customHeight="1" x14ac:dyDescent="0.25">
      <c r="A11" s="171"/>
      <c r="B11" s="300"/>
      <c r="C11" s="164"/>
      <c r="D11" s="166" t="s">
        <v>318</v>
      </c>
      <c r="E11" s="162"/>
      <c r="F11" s="255">
        <v>363300</v>
      </c>
    </row>
    <row r="12" spans="1:11" ht="15.75" customHeight="1" x14ac:dyDescent="0.25">
      <c r="A12" s="171"/>
      <c r="B12" s="300"/>
      <c r="C12" s="164" t="s">
        <v>141</v>
      </c>
      <c r="D12" s="166"/>
      <c r="E12" s="162"/>
      <c r="F12" s="255">
        <f>+F13</f>
        <v>93600</v>
      </c>
    </row>
    <row r="13" spans="1:11" ht="15.75" customHeight="1" x14ac:dyDescent="0.25">
      <c r="A13" s="171"/>
      <c r="B13" s="300"/>
      <c r="C13" s="164"/>
      <c r="D13" s="166" t="s">
        <v>258</v>
      </c>
      <c r="E13" s="162"/>
      <c r="F13" s="255">
        <v>93600</v>
      </c>
    </row>
    <row r="14" spans="1:11" ht="15.75" customHeight="1" x14ac:dyDescent="0.25">
      <c r="A14" s="171"/>
      <c r="B14" s="300"/>
      <c r="C14" s="164" t="s">
        <v>205</v>
      </c>
      <c r="D14" s="166"/>
      <c r="E14" s="162"/>
      <c r="F14" s="255">
        <f>SUM(F15:F16)</f>
        <v>478700</v>
      </c>
    </row>
    <row r="15" spans="1:11" ht="15.75" customHeight="1" x14ac:dyDescent="0.25">
      <c r="A15" s="171"/>
      <c r="B15" s="300"/>
      <c r="C15" s="164"/>
      <c r="D15" s="166" t="s">
        <v>258</v>
      </c>
      <c r="E15" s="162"/>
      <c r="F15" s="255">
        <f>396600-93600</f>
        <v>303000</v>
      </c>
    </row>
    <row r="16" spans="1:11" ht="15.75" customHeight="1" x14ac:dyDescent="0.25">
      <c r="A16" s="171"/>
      <c r="B16" s="300"/>
      <c r="C16" s="164"/>
      <c r="D16" s="166" t="s">
        <v>153</v>
      </c>
      <c r="E16" s="162"/>
      <c r="F16" s="255">
        <v>175700</v>
      </c>
    </row>
    <row r="17" spans="1:21" ht="15.75" hidden="1" customHeight="1" x14ac:dyDescent="0.25">
      <c r="A17" s="171"/>
      <c r="B17" s="300"/>
      <c r="C17" s="164" t="s">
        <v>141</v>
      </c>
      <c r="D17" s="364"/>
      <c r="E17" s="162"/>
      <c r="F17" s="255">
        <f>SUM(F18:H18)</f>
        <v>0</v>
      </c>
    </row>
    <row r="18" spans="1:21" ht="15.75" hidden="1" customHeight="1" x14ac:dyDescent="0.25">
      <c r="A18" s="171"/>
      <c r="B18" s="300"/>
      <c r="C18" s="164"/>
      <c r="D18" s="430" t="s">
        <v>258</v>
      </c>
      <c r="E18" s="162"/>
      <c r="F18" s="255"/>
    </row>
    <row r="19" spans="1:21" s="288" customFormat="1" ht="15.75" customHeight="1" x14ac:dyDescent="0.25">
      <c r="A19" s="171"/>
      <c r="B19" s="300"/>
      <c r="C19" s="164" t="s">
        <v>48</v>
      </c>
      <c r="D19" s="365"/>
      <c r="E19" s="162"/>
      <c r="F19" s="262">
        <f>SUM(F20:G21)</f>
        <v>231200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71"/>
      <c r="B20" s="300"/>
      <c r="C20" s="164"/>
      <c r="D20" s="365" t="s">
        <v>295</v>
      </c>
      <c r="E20" s="162"/>
      <c r="F20" s="255">
        <f>-198500-25400</f>
        <v>-223900</v>
      </c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1" s="288" customFormat="1" ht="15.75" customHeight="1" x14ac:dyDescent="0.25">
      <c r="A21" s="171"/>
      <c r="B21" s="300"/>
      <c r="C21" s="164"/>
      <c r="D21" s="365" t="s">
        <v>283</v>
      </c>
      <c r="E21" s="162"/>
      <c r="F21" s="255">
        <v>455100</v>
      </c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1" s="288" customFormat="1" ht="15.75" hidden="1" customHeight="1" x14ac:dyDescent="0.25">
      <c r="A22" s="171"/>
      <c r="B22" s="300"/>
      <c r="C22" s="164"/>
      <c r="D22" s="430" t="s">
        <v>153</v>
      </c>
      <c r="E22" s="162"/>
      <c r="F22" s="255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</row>
    <row r="23" spans="1:21" s="288" customFormat="1" ht="15.75" customHeight="1" x14ac:dyDescent="0.25">
      <c r="A23" s="182"/>
      <c r="B23" s="303"/>
      <c r="C23" s="304"/>
      <c r="D23" s="183"/>
      <c r="E23" s="185"/>
      <c r="F23" s="377"/>
      <c r="K23" s="289"/>
    </row>
    <row r="24" spans="1:21" s="288" customFormat="1" ht="15.75" customHeight="1" x14ac:dyDescent="0.25">
      <c r="A24" s="178"/>
      <c r="B24" s="179"/>
      <c r="C24" s="179"/>
      <c r="D24" s="180"/>
      <c r="E24" s="181"/>
      <c r="F24" s="378"/>
      <c r="K24" s="289"/>
    </row>
    <row r="25" spans="1:21" s="288" customFormat="1" ht="15.75" customHeight="1" x14ac:dyDescent="0.25">
      <c r="A25" s="171"/>
      <c r="B25" s="170" t="s">
        <v>176</v>
      </c>
      <c r="C25" s="170"/>
      <c r="D25" s="170"/>
      <c r="E25" s="172"/>
      <c r="F25" s="379">
        <f>+F17+F19+F9+F14+F12</f>
        <v>2017900</v>
      </c>
      <c r="K25" s="289"/>
    </row>
    <row r="26" spans="1:21" ht="15.75" customHeight="1" x14ac:dyDescent="0.25">
      <c r="A26" s="171"/>
      <c r="B26" s="170"/>
      <c r="C26" s="251" t="s">
        <v>177</v>
      </c>
      <c r="D26" s="170"/>
      <c r="E26" s="172"/>
      <c r="F26" s="380">
        <f>+F25/$G$1</f>
        <v>4.464222505398039E-2</v>
      </c>
    </row>
    <row r="27" spans="1:21" ht="15.75" customHeight="1" x14ac:dyDescent="0.25">
      <c r="A27" s="182"/>
      <c r="B27" s="183"/>
      <c r="C27" s="183"/>
      <c r="D27" s="183"/>
      <c r="E27" s="185"/>
      <c r="F27" s="381"/>
    </row>
    <row r="28" spans="1:21" s="320" customFormat="1" ht="15.75" customHeight="1" x14ac:dyDescent="0.25">
      <c r="A28" s="387"/>
      <c r="B28" s="338"/>
      <c r="C28" s="407"/>
      <c r="D28" s="390"/>
      <c r="E28" s="339"/>
      <c r="F28" s="248"/>
      <c r="K28" s="332"/>
    </row>
    <row r="29" spans="1:21" ht="15.75" customHeight="1" x14ac:dyDescent="0.25">
      <c r="A29" s="171"/>
      <c r="B29" s="163" t="s">
        <v>100</v>
      </c>
      <c r="C29" s="300"/>
      <c r="D29" s="251"/>
      <c r="E29" s="162"/>
      <c r="F29" s="383"/>
    </row>
    <row r="30" spans="1:21" s="309" customFormat="1" ht="15.75" customHeight="1" x14ac:dyDescent="0.25">
      <c r="A30" s="160"/>
      <c r="B30" s="251"/>
      <c r="C30" s="365" t="s">
        <v>291</v>
      </c>
      <c r="D30" s="166"/>
      <c r="E30" s="162"/>
      <c r="F30" s="255">
        <v>250000</v>
      </c>
      <c r="G30" s="288"/>
      <c r="H30" s="288"/>
      <c r="I30" s="288"/>
      <c r="J30" s="288"/>
    </row>
    <row r="31" spans="1:21" s="309" customFormat="1" ht="15.75" customHeight="1" x14ac:dyDescent="0.25">
      <c r="A31" s="160"/>
      <c r="B31" s="251"/>
      <c r="C31" s="365" t="s">
        <v>295</v>
      </c>
      <c r="D31" s="166"/>
      <c r="E31" s="162"/>
      <c r="F31" s="255">
        <v>223900</v>
      </c>
      <c r="G31" s="288"/>
      <c r="H31" s="288"/>
      <c r="I31" s="288"/>
      <c r="J31" s="288"/>
    </row>
    <row r="32" spans="1:21" s="309" customFormat="1" ht="15.75" customHeight="1" x14ac:dyDescent="0.25">
      <c r="A32" s="160"/>
      <c r="B32" s="251"/>
      <c r="C32" s="365" t="s">
        <v>322</v>
      </c>
      <c r="D32" s="166"/>
      <c r="E32" s="162"/>
      <c r="F32" s="255">
        <v>101400</v>
      </c>
      <c r="G32" s="288"/>
      <c r="H32" s="288"/>
      <c r="I32" s="288"/>
      <c r="J32" s="288"/>
    </row>
    <row r="33" spans="1:11" s="309" customFormat="1" ht="15.75" customHeight="1" x14ac:dyDescent="0.25">
      <c r="A33" s="160"/>
      <c r="B33" s="251"/>
      <c r="C33" s="365" t="s">
        <v>283</v>
      </c>
      <c r="D33" s="166"/>
      <c r="E33" s="162"/>
      <c r="F33" s="255">
        <v>-455100</v>
      </c>
      <c r="G33" s="288"/>
      <c r="H33" s="288"/>
      <c r="I33" s="288"/>
      <c r="J33" s="288"/>
    </row>
    <row r="34" spans="1:11" s="309" customFormat="1" ht="15.75" hidden="1" customHeight="1" x14ac:dyDescent="0.25">
      <c r="A34" s="160"/>
      <c r="B34" s="251"/>
      <c r="C34" s="430" t="s">
        <v>258</v>
      </c>
      <c r="D34" s="166"/>
      <c r="E34" s="162"/>
      <c r="F34" s="255"/>
      <c r="G34" s="288"/>
      <c r="H34" s="288"/>
      <c r="I34" s="288"/>
      <c r="J34" s="288"/>
    </row>
    <row r="35" spans="1:11" s="309" customFormat="1" ht="15.75" customHeight="1" x14ac:dyDescent="0.25">
      <c r="A35" s="184"/>
      <c r="B35" s="183"/>
      <c r="C35" s="405"/>
      <c r="D35" s="304"/>
      <c r="E35" s="185"/>
      <c r="F35" s="406"/>
      <c r="G35" s="288"/>
      <c r="H35" s="288"/>
      <c r="I35" s="288"/>
      <c r="J35" s="288"/>
    </row>
    <row r="36" spans="1:11" s="309" customFormat="1" ht="15.75" customHeight="1" x14ac:dyDescent="0.25">
      <c r="A36" s="187"/>
      <c r="B36" s="186"/>
      <c r="C36" s="408"/>
      <c r="D36" s="409"/>
      <c r="E36" s="188"/>
      <c r="F36" s="255"/>
      <c r="G36" s="288"/>
      <c r="H36" s="288"/>
      <c r="I36" s="288"/>
      <c r="J36" s="288"/>
    </row>
    <row r="37" spans="1:11" s="320" customFormat="1" ht="15.75" customHeight="1" x14ac:dyDescent="0.25">
      <c r="A37" s="321"/>
      <c r="B37" s="333" t="s">
        <v>211</v>
      </c>
      <c r="C37" s="333"/>
      <c r="D37" s="333"/>
      <c r="E37" s="334"/>
      <c r="F37" s="385">
        <f>SUM(F30:F34)</f>
        <v>120200</v>
      </c>
      <c r="K37" s="332"/>
    </row>
    <row r="38" spans="1:11" s="320" customFormat="1" ht="15.75" customHeight="1" x14ac:dyDescent="0.25">
      <c r="A38" s="321"/>
      <c r="B38" s="333"/>
      <c r="C38" s="322" t="s">
        <v>177</v>
      </c>
      <c r="D38" s="333"/>
      <c r="E38" s="334"/>
      <c r="F38" s="380">
        <f>+F37/G1</f>
        <v>2.6591979044989556E-3</v>
      </c>
      <c r="K38" s="332"/>
    </row>
    <row r="39" spans="1:11" s="320" customFormat="1" ht="15.75" customHeight="1" x14ac:dyDescent="0.25">
      <c r="A39" s="335"/>
      <c r="B39" s="311"/>
      <c r="C39" s="311"/>
      <c r="D39" s="311"/>
      <c r="E39" s="314"/>
      <c r="F39" s="386"/>
      <c r="K39" s="332"/>
    </row>
    <row r="40" spans="1:11" s="320" customFormat="1" ht="15.75" customHeight="1" x14ac:dyDescent="0.25">
      <c r="A40" s="387"/>
      <c r="B40" s="338"/>
      <c r="C40" s="338"/>
      <c r="D40" s="338"/>
      <c r="E40" s="338"/>
      <c r="F40" s="388"/>
      <c r="K40" s="332"/>
    </row>
    <row r="41" spans="1:11" s="341" customFormat="1" ht="15.75" customHeight="1" x14ac:dyDescent="0.3">
      <c r="A41" s="273" t="s">
        <v>320</v>
      </c>
      <c r="B41" s="189"/>
      <c r="C41" s="189"/>
      <c r="D41" s="189"/>
      <c r="E41" s="189"/>
      <c r="F41" s="274">
        <f>+F25+F37</f>
        <v>2138100</v>
      </c>
      <c r="G41" s="299"/>
      <c r="H41" s="299"/>
      <c r="I41" s="299"/>
      <c r="J41" s="299"/>
    </row>
    <row r="42" spans="1:11" s="341" customFormat="1" ht="15.75" customHeight="1" x14ac:dyDescent="0.25">
      <c r="A42" s="273"/>
      <c r="B42" s="189"/>
      <c r="C42" s="216" t="s">
        <v>177</v>
      </c>
      <c r="D42" s="217"/>
      <c r="E42" s="217"/>
      <c r="F42" s="389">
        <f>+F41/G1</f>
        <v>4.7301422958479347E-2</v>
      </c>
      <c r="G42" s="299"/>
      <c r="H42" s="299"/>
      <c r="I42" s="299"/>
      <c r="J42" s="299"/>
    </row>
    <row r="43" spans="1:11" s="346" customFormat="1" ht="15.75" customHeight="1" x14ac:dyDescent="0.25">
      <c r="A43" s="343"/>
      <c r="B43" s="344"/>
      <c r="C43" s="344"/>
      <c r="D43" s="344"/>
      <c r="E43" s="344"/>
      <c r="F43" s="345"/>
      <c r="G43" s="288"/>
      <c r="H43" s="288"/>
      <c r="I43" s="288"/>
      <c r="J43" s="288"/>
    </row>
    <row r="44" spans="1:11" s="346" customFormat="1" ht="15.75" customHeight="1" x14ac:dyDescent="0.25">
      <c r="A44" s="347"/>
      <c r="B44" s="347"/>
      <c r="C44" s="347"/>
      <c r="D44" s="347"/>
      <c r="E44" s="347"/>
      <c r="G44" s="288"/>
      <c r="H44" s="288"/>
      <c r="I44" s="288"/>
      <c r="J44" s="288"/>
    </row>
    <row r="45" spans="1:11" s="346" customFormat="1" ht="18" customHeight="1" x14ac:dyDescent="0.3">
      <c r="A45" s="459"/>
      <c r="B45" s="459"/>
      <c r="C45" s="459"/>
      <c r="D45" s="459"/>
      <c r="E45" s="459"/>
      <c r="F45" s="370"/>
      <c r="G45" s="288"/>
      <c r="H45" s="288"/>
      <c r="I45" s="288"/>
      <c r="J45" s="288"/>
    </row>
    <row r="46" spans="1:11" s="346" customFormat="1" ht="18" customHeight="1" x14ac:dyDescent="0.25">
      <c r="A46" s="461"/>
      <c r="B46" s="461"/>
      <c r="C46" s="461"/>
      <c r="D46" s="461"/>
      <c r="E46" s="461"/>
      <c r="F46" s="349"/>
      <c r="G46" s="288"/>
      <c r="H46" s="288"/>
      <c r="I46" s="288"/>
      <c r="J46" s="288"/>
    </row>
    <row r="47" spans="1:11" s="346" customFormat="1" ht="18" customHeight="1" x14ac:dyDescent="0.25">
      <c r="A47" s="461"/>
      <c r="B47" s="461"/>
      <c r="C47" s="461"/>
      <c r="D47" s="461"/>
      <c r="E47" s="461"/>
      <c r="F47" s="349"/>
      <c r="G47" s="288"/>
      <c r="H47" s="288"/>
      <c r="I47" s="288"/>
      <c r="J47" s="288"/>
    </row>
    <row r="48" spans="1:11" ht="18" customHeight="1" x14ac:dyDescent="0.25">
      <c r="A48" s="462"/>
      <c r="B48" s="461"/>
      <c r="C48" s="461"/>
      <c r="D48" s="461"/>
      <c r="E48" s="461"/>
      <c r="F48" s="350"/>
    </row>
    <row r="49" spans="1:6" ht="18" customHeight="1" x14ac:dyDescent="0.25">
      <c r="A49" s="461"/>
      <c r="B49" s="461"/>
      <c r="C49" s="461"/>
      <c r="D49" s="461"/>
      <c r="E49" s="461"/>
      <c r="F49" s="350"/>
    </row>
  </sheetData>
  <sortState xmlns:xlrd2="http://schemas.microsoft.com/office/spreadsheetml/2017/richdata2" ref="C30:F33">
    <sortCondition descending="1" ref="F30:F33"/>
  </sortState>
  <mergeCells count="9">
    <mergeCell ref="A49:E49"/>
    <mergeCell ref="A3:E3"/>
    <mergeCell ref="A4:E4"/>
    <mergeCell ref="A5:E6"/>
    <mergeCell ref="F5:F6"/>
    <mergeCell ref="A45:E45"/>
    <mergeCell ref="A46:E46"/>
    <mergeCell ref="A47:E47"/>
    <mergeCell ref="A48:E48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A47E-DD69-40D7-B672-544FA59C385C}">
  <sheetPr>
    <pageSetUpPr fitToPage="1"/>
  </sheetPr>
  <dimension ref="A1:U45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253</v>
      </c>
      <c r="B1" s="157"/>
      <c r="C1" s="157"/>
      <c r="D1" s="157"/>
      <c r="E1" s="157"/>
      <c r="F1" s="158" t="str">
        <f>+'USHE-GOV'!N1</f>
        <v>December 6, 2024</v>
      </c>
      <c r="G1" s="404">
        <v>65137700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2327000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1629900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697100</v>
      </c>
    </row>
    <row r="12" spans="1:21" ht="15.75" customHeight="1" x14ac:dyDescent="0.25">
      <c r="A12" s="171"/>
      <c r="B12" s="300"/>
      <c r="C12" s="164" t="s">
        <v>205</v>
      </c>
      <c r="D12" s="166"/>
      <c r="E12" s="162"/>
      <c r="F12" s="255">
        <f>SUM(F13:F14)</f>
        <v>516300</v>
      </c>
    </row>
    <row r="13" spans="1:21" ht="15.75" customHeight="1" x14ac:dyDescent="0.25">
      <c r="A13" s="171"/>
      <c r="B13" s="300"/>
      <c r="C13" s="164"/>
      <c r="D13" s="166" t="s">
        <v>258</v>
      </c>
      <c r="E13" s="162"/>
      <c r="F13" s="255">
        <v>279500</v>
      </c>
    </row>
    <row r="14" spans="1:21" ht="15.75" customHeight="1" x14ac:dyDescent="0.25">
      <c r="A14" s="171"/>
      <c r="B14" s="300"/>
      <c r="C14" s="164"/>
      <c r="D14" s="166" t="s">
        <v>153</v>
      </c>
      <c r="E14" s="162"/>
      <c r="F14" s="255">
        <v>236800</v>
      </c>
    </row>
    <row r="15" spans="1:21" s="288" customFormat="1" ht="15.75" customHeight="1" x14ac:dyDescent="0.25">
      <c r="A15" s="171"/>
      <c r="B15" s="300"/>
      <c r="C15" s="164" t="s">
        <v>48</v>
      </c>
      <c r="D15" s="365"/>
      <c r="E15" s="162"/>
      <c r="F15" s="262">
        <f>SUM(F16:F19)</f>
        <v>-869600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300"/>
      <c r="C16" s="164"/>
      <c r="D16" s="365" t="s">
        <v>295</v>
      </c>
      <c r="E16" s="162"/>
      <c r="F16" s="255">
        <f>-968700-900</f>
        <v>-969600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307</v>
      </c>
      <c r="E17" s="162"/>
      <c r="F17" s="255">
        <v>100000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D18" s="430" t="s">
        <v>254</v>
      </c>
      <c r="E18" s="162"/>
      <c r="F18" s="255">
        <v>0</v>
      </c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hidden="1" customHeight="1" x14ac:dyDescent="0.25">
      <c r="A19" s="171"/>
      <c r="B19" s="300"/>
      <c r="C19" s="164"/>
      <c r="D19" s="430" t="s">
        <v>272</v>
      </c>
      <c r="E19" s="162"/>
      <c r="F19" s="255">
        <v>0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82"/>
      <c r="B20" s="303"/>
      <c r="C20" s="304"/>
      <c r="D20" s="183"/>
      <c r="E20" s="185"/>
      <c r="F20" s="377"/>
      <c r="K20" s="289"/>
    </row>
    <row r="21" spans="1:21" s="288" customFormat="1" ht="15.75" customHeight="1" x14ac:dyDescent="0.25">
      <c r="A21" s="178"/>
      <c r="B21" s="179"/>
      <c r="C21" s="179"/>
      <c r="D21" s="180"/>
      <c r="E21" s="181"/>
      <c r="F21" s="378"/>
      <c r="K21" s="289"/>
    </row>
    <row r="22" spans="1:21" s="288" customFormat="1" ht="15.75" customHeight="1" x14ac:dyDescent="0.25">
      <c r="A22" s="171"/>
      <c r="B22" s="170" t="s">
        <v>176</v>
      </c>
      <c r="C22" s="170"/>
      <c r="D22" s="170"/>
      <c r="E22" s="172"/>
      <c r="F22" s="379">
        <f>+F15+F9+F12</f>
        <v>1973700</v>
      </c>
      <c r="K22" s="289"/>
    </row>
    <row r="23" spans="1:21" ht="15.75" customHeight="1" x14ac:dyDescent="0.25">
      <c r="A23" s="171"/>
      <c r="B23" s="170"/>
      <c r="C23" s="251" t="s">
        <v>177</v>
      </c>
      <c r="D23" s="170"/>
      <c r="E23" s="172"/>
      <c r="F23" s="380">
        <f>+F22/$G$1</f>
        <v>3.0300425099443178E-2</v>
      </c>
    </row>
    <row r="24" spans="1:21" ht="15.75" customHeight="1" x14ac:dyDescent="0.25">
      <c r="A24" s="182"/>
      <c r="B24" s="183"/>
      <c r="C24" s="183"/>
      <c r="D24" s="183"/>
      <c r="E24" s="185"/>
      <c r="F24" s="381"/>
    </row>
    <row r="25" spans="1:21" s="300" customFormat="1" ht="15.75" customHeight="1" x14ac:dyDescent="0.25">
      <c r="A25" s="178"/>
      <c r="B25" s="186"/>
      <c r="C25" s="186"/>
      <c r="D25" s="186"/>
      <c r="E25" s="188"/>
      <c r="F25" s="382"/>
      <c r="G25" s="371"/>
      <c r="H25" s="371"/>
      <c r="I25" s="371"/>
      <c r="J25" s="371"/>
    </row>
    <row r="26" spans="1:21" ht="15.75" customHeight="1" x14ac:dyDescent="0.25">
      <c r="A26" s="171"/>
      <c r="B26" s="163" t="s">
        <v>100</v>
      </c>
      <c r="C26" s="300"/>
      <c r="D26" s="251"/>
      <c r="E26" s="162"/>
      <c r="F26" s="383"/>
    </row>
    <row r="27" spans="1:21" s="309" customFormat="1" ht="15.75" customHeight="1" x14ac:dyDescent="0.25">
      <c r="A27" s="160"/>
      <c r="B27" s="251"/>
      <c r="C27" s="365" t="s">
        <v>295</v>
      </c>
      <c r="D27" s="166"/>
      <c r="E27" s="162"/>
      <c r="F27" s="255">
        <v>969600</v>
      </c>
      <c r="G27" s="288"/>
      <c r="H27" s="288"/>
      <c r="I27" s="288"/>
      <c r="J27" s="288"/>
    </row>
    <row r="28" spans="1:21" s="309" customFormat="1" ht="15.75" customHeight="1" x14ac:dyDescent="0.25">
      <c r="A28" s="160"/>
      <c r="B28" s="251"/>
      <c r="C28" s="365" t="s">
        <v>272</v>
      </c>
      <c r="D28" s="166"/>
      <c r="E28" s="162"/>
      <c r="F28" s="255">
        <v>150000</v>
      </c>
      <c r="G28" s="288"/>
      <c r="H28" s="288"/>
      <c r="I28" s="288"/>
      <c r="J28" s="288"/>
    </row>
    <row r="29" spans="1:21" s="309" customFormat="1" ht="15.75" customHeight="1" x14ac:dyDescent="0.25">
      <c r="A29" s="160"/>
      <c r="B29" s="251"/>
      <c r="C29" s="365" t="s">
        <v>322</v>
      </c>
      <c r="D29" s="166"/>
      <c r="E29" s="162"/>
      <c r="F29" s="255">
        <v>96400</v>
      </c>
      <c r="G29" s="288"/>
      <c r="H29" s="288"/>
      <c r="I29" s="288"/>
      <c r="J29" s="288"/>
    </row>
    <row r="30" spans="1:21" s="309" customFormat="1" ht="15.75" customHeight="1" x14ac:dyDescent="0.25">
      <c r="A30" s="160"/>
      <c r="B30" s="251"/>
      <c r="C30" s="365" t="s">
        <v>259</v>
      </c>
      <c r="D30" s="166"/>
      <c r="E30" s="162"/>
      <c r="F30" s="255">
        <v>-723800</v>
      </c>
      <c r="G30" s="288"/>
      <c r="H30" s="288"/>
      <c r="I30" s="288"/>
      <c r="J30" s="288"/>
    </row>
    <row r="31" spans="1:21" s="320" customFormat="1" ht="15.75" customHeight="1" x14ac:dyDescent="0.25">
      <c r="A31" s="310"/>
      <c r="B31" s="311"/>
      <c r="C31" s="312"/>
      <c r="D31" s="313"/>
      <c r="E31" s="314"/>
      <c r="F31" s="384"/>
    </row>
    <row r="32" spans="1:21" s="320" customFormat="1" ht="15.75" customHeight="1" x14ac:dyDescent="0.25">
      <c r="A32" s="321"/>
      <c r="B32" s="322"/>
      <c r="C32" s="323"/>
      <c r="D32" s="324"/>
      <c r="E32" s="339"/>
      <c r="F32" s="248"/>
      <c r="K32" s="332"/>
    </row>
    <row r="33" spans="1:11" s="320" customFormat="1" ht="15.75" customHeight="1" x14ac:dyDescent="0.25">
      <c r="A33" s="321"/>
      <c r="B33" s="333" t="s">
        <v>211</v>
      </c>
      <c r="C33" s="333"/>
      <c r="D33" s="333"/>
      <c r="E33" s="334"/>
      <c r="F33" s="385">
        <f>SUM(F27:F30)</f>
        <v>492200</v>
      </c>
      <c r="K33" s="332"/>
    </row>
    <row r="34" spans="1:11" s="320" customFormat="1" ht="15.75" customHeight="1" x14ac:dyDescent="0.25">
      <c r="A34" s="321"/>
      <c r="B34" s="333"/>
      <c r="C34" s="322" t="s">
        <v>177</v>
      </c>
      <c r="D34" s="333"/>
      <c r="E34" s="334"/>
      <c r="F34" s="380">
        <f>+F33/G1</f>
        <v>7.5562999614662476E-3</v>
      </c>
      <c r="K34" s="332"/>
    </row>
    <row r="35" spans="1:11" s="320" customFormat="1" ht="15.75" customHeight="1" x14ac:dyDescent="0.25">
      <c r="A35" s="335"/>
      <c r="B35" s="311"/>
      <c r="C35" s="311"/>
      <c r="D35" s="311"/>
      <c r="E35" s="314"/>
      <c r="F35" s="386"/>
      <c r="K35" s="332"/>
    </row>
    <row r="36" spans="1:11" s="320" customFormat="1" ht="15.75" customHeight="1" x14ac:dyDescent="0.25">
      <c r="A36" s="387"/>
      <c r="B36" s="338"/>
      <c r="C36" s="338"/>
      <c r="D36" s="338"/>
      <c r="E36" s="338"/>
      <c r="F36" s="388"/>
      <c r="K36" s="332"/>
    </row>
    <row r="37" spans="1:11" s="341" customFormat="1" ht="15.75" customHeight="1" x14ac:dyDescent="0.3">
      <c r="A37" s="273" t="s">
        <v>320</v>
      </c>
      <c r="B37" s="189"/>
      <c r="C37" s="189"/>
      <c r="D37" s="189"/>
      <c r="E37" s="189"/>
      <c r="F37" s="274">
        <f>+F22+F33</f>
        <v>2465900</v>
      </c>
      <c r="G37" s="299"/>
      <c r="H37" s="299"/>
      <c r="I37" s="299"/>
      <c r="J37" s="299"/>
    </row>
    <row r="38" spans="1:11" s="341" customFormat="1" ht="15.75" customHeight="1" x14ac:dyDescent="0.25">
      <c r="A38" s="273"/>
      <c r="B38" s="189"/>
      <c r="C38" s="216" t="s">
        <v>177</v>
      </c>
      <c r="D38" s="217"/>
      <c r="E38" s="217"/>
      <c r="F38" s="389">
        <f>+F37/G1</f>
        <v>3.7856725060909424E-2</v>
      </c>
      <c r="G38" s="299"/>
      <c r="H38" s="299"/>
      <c r="I38" s="299"/>
      <c r="J38" s="299"/>
    </row>
    <row r="39" spans="1:11" s="346" customFormat="1" ht="15.75" customHeight="1" x14ac:dyDescent="0.25">
      <c r="A39" s="343"/>
      <c r="B39" s="344"/>
      <c r="C39" s="344"/>
      <c r="D39" s="344"/>
      <c r="E39" s="344"/>
      <c r="F39" s="345"/>
      <c r="G39" s="288"/>
      <c r="H39" s="288"/>
      <c r="I39" s="288"/>
      <c r="J39" s="288"/>
    </row>
    <row r="40" spans="1:11" s="346" customFormat="1" ht="15.75" customHeight="1" x14ac:dyDescent="0.25">
      <c r="A40" s="347"/>
      <c r="B40" s="347"/>
      <c r="C40" s="347"/>
      <c r="D40" s="347"/>
      <c r="E40" s="347"/>
      <c r="G40" s="288"/>
      <c r="H40" s="288"/>
      <c r="I40" s="288"/>
      <c r="J40" s="288"/>
    </row>
    <row r="41" spans="1:11" s="346" customFormat="1" ht="18" customHeight="1" x14ac:dyDescent="0.3">
      <c r="A41" s="459"/>
      <c r="B41" s="459"/>
      <c r="C41" s="459"/>
      <c r="D41" s="459"/>
      <c r="E41" s="459"/>
      <c r="F41" s="370"/>
      <c r="G41" s="288"/>
      <c r="H41" s="288"/>
      <c r="I41" s="288"/>
      <c r="J41" s="288"/>
    </row>
    <row r="42" spans="1:11" s="346" customFormat="1" ht="18" customHeight="1" x14ac:dyDescent="0.25">
      <c r="A42" s="461"/>
      <c r="B42" s="461"/>
      <c r="C42" s="461"/>
      <c r="D42" s="461"/>
      <c r="E42" s="461"/>
      <c r="F42" s="349"/>
      <c r="G42" s="288"/>
      <c r="H42" s="288"/>
      <c r="I42" s="288"/>
      <c r="J42" s="288"/>
    </row>
    <row r="43" spans="1:11" s="346" customFormat="1" ht="18" customHeight="1" x14ac:dyDescent="0.25">
      <c r="A43" s="461"/>
      <c r="B43" s="461"/>
      <c r="C43" s="461"/>
      <c r="D43" s="461"/>
      <c r="E43" s="461"/>
      <c r="F43" s="349"/>
      <c r="G43" s="288"/>
      <c r="H43" s="288"/>
      <c r="I43" s="288"/>
      <c r="J43" s="288"/>
    </row>
    <row r="44" spans="1:11" ht="18" customHeight="1" x14ac:dyDescent="0.25">
      <c r="A44" s="462"/>
      <c r="B44" s="461"/>
      <c r="C44" s="461"/>
      <c r="D44" s="461"/>
      <c r="E44" s="461"/>
      <c r="F44" s="350"/>
    </row>
    <row r="45" spans="1:11" ht="18" customHeight="1" x14ac:dyDescent="0.25">
      <c r="A45" s="461"/>
      <c r="B45" s="461"/>
      <c r="C45" s="461"/>
      <c r="D45" s="461"/>
      <c r="E45" s="461"/>
      <c r="F45" s="350"/>
    </row>
  </sheetData>
  <sortState xmlns:xlrd2="http://schemas.microsoft.com/office/spreadsheetml/2017/richdata2" ref="D16:F19">
    <sortCondition descending="1" ref="F16:F19"/>
  </sortState>
  <mergeCells count="9">
    <mergeCell ref="A45:E45"/>
    <mergeCell ref="A3:E3"/>
    <mergeCell ref="A4:E4"/>
    <mergeCell ref="A5:E6"/>
    <mergeCell ref="F5:F6"/>
    <mergeCell ref="A41:E41"/>
    <mergeCell ref="A42:E42"/>
    <mergeCell ref="A43:E43"/>
    <mergeCell ref="A44:E44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24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3C67-C0DC-4AF2-A29F-67AD709F9837}">
  <sheetPr>
    <pageSetUpPr fitToPage="1"/>
  </sheetPr>
  <dimension ref="A1:U47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91</v>
      </c>
      <c r="B1" s="157"/>
      <c r="C1" s="157"/>
      <c r="D1" s="157"/>
      <c r="E1" s="157"/>
      <c r="F1" s="158" t="str">
        <f>+'USHE-GOV'!N1</f>
        <v>December 6, 2024</v>
      </c>
      <c r="G1" s="404">
        <v>185213900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7327700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5258700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2069000</v>
      </c>
    </row>
    <row r="12" spans="1:21" ht="15.75" customHeight="1" x14ac:dyDescent="0.25">
      <c r="A12" s="171"/>
      <c r="B12" s="300"/>
      <c r="C12" s="164" t="s">
        <v>205</v>
      </c>
      <c r="D12" s="166"/>
      <c r="E12" s="162"/>
      <c r="F12" s="255">
        <f>SUM(F13:F14)</f>
        <v>1165600</v>
      </c>
    </row>
    <row r="13" spans="1:21" ht="15.75" customHeight="1" x14ac:dyDescent="0.25">
      <c r="A13" s="171"/>
      <c r="B13" s="300"/>
      <c r="C13" s="164"/>
      <c r="D13" s="166" t="s">
        <v>258</v>
      </c>
      <c r="E13" s="162"/>
      <c r="F13" s="255">
        <v>829100</v>
      </c>
    </row>
    <row r="14" spans="1:21" ht="15.75" customHeight="1" x14ac:dyDescent="0.25">
      <c r="A14" s="171"/>
      <c r="B14" s="300"/>
      <c r="C14" s="164"/>
      <c r="D14" s="166" t="s">
        <v>153</v>
      </c>
      <c r="E14" s="162"/>
      <c r="F14" s="255">
        <v>336500</v>
      </c>
    </row>
    <row r="15" spans="1:21" s="288" customFormat="1" ht="15.75" customHeight="1" x14ac:dyDescent="0.25">
      <c r="A15" s="171"/>
      <c r="B15" s="300"/>
      <c r="C15" s="164" t="s">
        <v>48</v>
      </c>
      <c r="D15" s="365"/>
      <c r="E15" s="162"/>
      <c r="F15" s="262">
        <f>SUM(F16:F18)</f>
        <v>-2372800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300"/>
      <c r="C16" s="164"/>
      <c r="D16" s="365" t="s">
        <v>328</v>
      </c>
      <c r="E16" s="162"/>
      <c r="F16" s="255">
        <v>250000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305</v>
      </c>
      <c r="E17" s="162"/>
      <c r="F17" s="255">
        <v>125000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71"/>
      <c r="B18" s="300"/>
      <c r="C18" s="164"/>
      <c r="D18" s="365" t="s">
        <v>295</v>
      </c>
      <c r="E18" s="162"/>
      <c r="F18" s="255">
        <f>-2672200-75600</f>
        <v>-2747800</v>
      </c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82"/>
      <c r="B19" s="303"/>
      <c r="C19" s="304"/>
      <c r="D19" s="183"/>
      <c r="E19" s="185"/>
      <c r="F19" s="377"/>
      <c r="K19" s="289"/>
    </row>
    <row r="20" spans="1:21" s="288" customFormat="1" ht="15.75" customHeight="1" x14ac:dyDescent="0.25">
      <c r="A20" s="178"/>
      <c r="B20" s="179"/>
      <c r="C20" s="179"/>
      <c r="D20" s="180"/>
      <c r="E20" s="181"/>
      <c r="F20" s="378"/>
      <c r="K20" s="289"/>
    </row>
    <row r="21" spans="1:21" s="288" customFormat="1" ht="15.75" customHeight="1" x14ac:dyDescent="0.25">
      <c r="A21" s="171"/>
      <c r="B21" s="170" t="s">
        <v>321</v>
      </c>
      <c r="C21" s="170"/>
      <c r="D21" s="170"/>
      <c r="E21" s="172"/>
      <c r="F21" s="379">
        <f>+F15+F9+F12</f>
        <v>6120500</v>
      </c>
      <c r="K21" s="289"/>
    </row>
    <row r="22" spans="1:21" ht="15.75" customHeight="1" x14ac:dyDescent="0.25">
      <c r="A22" s="171"/>
      <c r="B22" s="170"/>
      <c r="C22" s="251" t="s">
        <v>177</v>
      </c>
      <c r="D22" s="170"/>
      <c r="E22" s="172"/>
      <c r="F22" s="380">
        <f>+F21/$G$1</f>
        <v>3.3045575952992727E-2</v>
      </c>
    </row>
    <row r="23" spans="1:21" ht="15.75" customHeight="1" x14ac:dyDescent="0.25">
      <c r="A23" s="182"/>
      <c r="B23" s="183"/>
      <c r="C23" s="183"/>
      <c r="D23" s="183"/>
      <c r="E23" s="185"/>
      <c r="F23" s="381"/>
    </row>
    <row r="24" spans="1:21" s="300" customFormat="1" ht="15.75" customHeight="1" x14ac:dyDescent="0.25">
      <c r="A24" s="178"/>
      <c r="B24" s="186"/>
      <c r="C24" s="186"/>
      <c r="D24" s="186"/>
      <c r="E24" s="188"/>
      <c r="F24" s="382"/>
      <c r="G24" s="371"/>
      <c r="H24" s="371"/>
      <c r="I24" s="371"/>
      <c r="J24" s="371"/>
    </row>
    <row r="25" spans="1:21" ht="15.75" customHeight="1" x14ac:dyDescent="0.25">
      <c r="A25" s="171"/>
      <c r="B25" s="163" t="s">
        <v>100</v>
      </c>
      <c r="C25" s="300"/>
      <c r="D25" s="251"/>
      <c r="E25" s="162"/>
      <c r="F25" s="383"/>
    </row>
    <row r="26" spans="1:21" s="309" customFormat="1" ht="15.75" customHeight="1" x14ac:dyDescent="0.25">
      <c r="A26" s="160"/>
      <c r="B26" s="251"/>
      <c r="C26" s="365" t="s">
        <v>295</v>
      </c>
      <c r="D26" s="166"/>
      <c r="E26" s="162"/>
      <c r="F26" s="255">
        <v>2747800</v>
      </c>
      <c r="G26" s="288"/>
      <c r="H26" s="288"/>
      <c r="I26" s="372"/>
      <c r="J26" s="288"/>
    </row>
    <row r="27" spans="1:21" s="309" customFormat="1" ht="15.75" customHeight="1" x14ac:dyDescent="0.25">
      <c r="A27" s="160"/>
      <c r="B27" s="251"/>
      <c r="C27" s="365" t="s">
        <v>212</v>
      </c>
      <c r="D27" s="166"/>
      <c r="E27" s="162"/>
      <c r="F27" s="255">
        <v>1500000</v>
      </c>
      <c r="G27" s="288"/>
      <c r="H27" s="288"/>
      <c r="I27" s="372"/>
      <c r="J27" s="288"/>
    </row>
    <row r="28" spans="1:21" s="309" customFormat="1" ht="15.75" customHeight="1" x14ac:dyDescent="0.25">
      <c r="A28" s="160"/>
      <c r="B28" s="251"/>
      <c r="C28" s="365" t="s">
        <v>322</v>
      </c>
      <c r="D28" s="166"/>
      <c r="E28" s="162"/>
      <c r="F28" s="255">
        <v>788500</v>
      </c>
      <c r="G28" s="288"/>
      <c r="H28" s="288"/>
      <c r="I28" s="372"/>
      <c r="J28" s="288"/>
    </row>
    <row r="29" spans="1:21" s="309" customFormat="1" ht="15.75" customHeight="1" x14ac:dyDescent="0.25">
      <c r="A29" s="160"/>
      <c r="B29" s="251"/>
      <c r="C29" s="365" t="s">
        <v>305</v>
      </c>
      <c r="D29" s="166"/>
      <c r="E29" s="162"/>
      <c r="F29" s="255">
        <v>750000</v>
      </c>
      <c r="G29" s="288"/>
      <c r="H29" s="288"/>
      <c r="I29" s="372"/>
      <c r="J29" s="288"/>
    </row>
    <row r="30" spans="1:21" s="309" customFormat="1" ht="15.75" customHeight="1" x14ac:dyDescent="0.25">
      <c r="A30" s="160"/>
      <c r="B30" s="251"/>
      <c r="C30" s="365" t="s">
        <v>306</v>
      </c>
      <c r="D30" s="166"/>
      <c r="E30" s="162"/>
      <c r="F30" s="255">
        <v>300000</v>
      </c>
      <c r="G30" s="288"/>
      <c r="H30" s="288"/>
      <c r="I30" s="372"/>
      <c r="J30" s="288"/>
    </row>
    <row r="31" spans="1:21" s="309" customFormat="1" ht="15.75" hidden="1" customHeight="1" x14ac:dyDescent="0.25">
      <c r="A31" s="160"/>
      <c r="B31" s="251"/>
      <c r="C31" s="430" t="s">
        <v>258</v>
      </c>
      <c r="D31" s="166"/>
      <c r="E31" s="162"/>
      <c r="F31" s="255"/>
      <c r="G31" s="288"/>
      <c r="H31" s="288"/>
      <c r="I31" s="372"/>
      <c r="J31" s="288"/>
    </row>
    <row r="32" spans="1:21" s="309" customFormat="1" ht="15.75" customHeight="1" x14ac:dyDescent="0.25">
      <c r="A32" s="160"/>
      <c r="B32" s="251"/>
      <c r="C32" s="365" t="s">
        <v>259</v>
      </c>
      <c r="D32" s="166"/>
      <c r="E32" s="162"/>
      <c r="F32" s="255">
        <v>-1755200</v>
      </c>
      <c r="G32" s="288"/>
      <c r="H32" s="288"/>
      <c r="I32" s="372"/>
      <c r="J32" s="288"/>
    </row>
    <row r="33" spans="1:11" s="320" customFormat="1" ht="15.75" customHeight="1" x14ac:dyDescent="0.25">
      <c r="A33" s="310"/>
      <c r="B33" s="311"/>
      <c r="C33" s="312"/>
      <c r="D33" s="313"/>
      <c r="E33" s="314"/>
      <c r="F33" s="384"/>
    </row>
    <row r="34" spans="1:11" s="320" customFormat="1" ht="15.75" customHeight="1" x14ac:dyDescent="0.25">
      <c r="A34" s="321"/>
      <c r="B34" s="322"/>
      <c r="C34" s="323"/>
      <c r="D34" s="324"/>
      <c r="E34" s="339"/>
      <c r="F34" s="248"/>
      <c r="K34" s="332"/>
    </row>
    <row r="35" spans="1:11" s="320" customFormat="1" ht="15.75" customHeight="1" x14ac:dyDescent="0.25">
      <c r="A35" s="321"/>
      <c r="B35" s="333" t="s">
        <v>211</v>
      </c>
      <c r="C35" s="333"/>
      <c r="D35" s="333"/>
      <c r="E35" s="334"/>
      <c r="F35" s="385">
        <f>SUM(F26:G32)</f>
        <v>4331100</v>
      </c>
      <c r="K35" s="332"/>
    </row>
    <row r="36" spans="1:11" s="320" customFormat="1" ht="15.75" customHeight="1" x14ac:dyDescent="0.25">
      <c r="A36" s="321"/>
      <c r="B36" s="333"/>
      <c r="C36" s="322" t="s">
        <v>177</v>
      </c>
      <c r="D36" s="333"/>
      <c r="E36" s="334"/>
      <c r="F36" s="380">
        <f>+F35/G1</f>
        <v>2.3384314028266778E-2</v>
      </c>
      <c r="K36" s="332"/>
    </row>
    <row r="37" spans="1:11" s="320" customFormat="1" ht="15.75" customHeight="1" x14ac:dyDescent="0.25">
      <c r="A37" s="335"/>
      <c r="B37" s="311"/>
      <c r="C37" s="311"/>
      <c r="D37" s="311"/>
      <c r="E37" s="314"/>
      <c r="F37" s="386"/>
      <c r="K37" s="332"/>
    </row>
    <row r="38" spans="1:11" s="320" customFormat="1" ht="15.75" customHeight="1" x14ac:dyDescent="0.25">
      <c r="A38" s="387"/>
      <c r="B38" s="338"/>
      <c r="C38" s="338"/>
      <c r="D38" s="338"/>
      <c r="E38" s="338"/>
      <c r="F38" s="388"/>
      <c r="K38" s="332"/>
    </row>
    <row r="39" spans="1:11" s="341" customFormat="1" ht="15.75" customHeight="1" x14ac:dyDescent="0.3">
      <c r="A39" s="273" t="s">
        <v>320</v>
      </c>
      <c r="B39" s="189"/>
      <c r="C39" s="189"/>
      <c r="D39" s="189"/>
      <c r="E39" s="189"/>
      <c r="F39" s="274">
        <f>+F21+F35</f>
        <v>10451600</v>
      </c>
      <c r="G39" s="299"/>
      <c r="H39" s="299"/>
      <c r="I39" s="299"/>
      <c r="J39" s="299"/>
    </row>
    <row r="40" spans="1:11" s="341" customFormat="1" ht="15.75" customHeight="1" x14ac:dyDescent="0.25">
      <c r="A40" s="273"/>
      <c r="B40" s="189"/>
      <c r="C40" s="216" t="s">
        <v>177</v>
      </c>
      <c r="D40" s="217"/>
      <c r="E40" s="217"/>
      <c r="F40" s="389">
        <f>+F39/G1</f>
        <v>5.6429889981259508E-2</v>
      </c>
      <c r="G40" s="299"/>
      <c r="H40" s="299"/>
      <c r="I40" s="299"/>
      <c r="J40" s="299"/>
    </row>
    <row r="41" spans="1:11" s="346" customFormat="1" ht="15.75" customHeight="1" x14ac:dyDescent="0.25">
      <c r="A41" s="343"/>
      <c r="B41" s="344"/>
      <c r="C41" s="344"/>
      <c r="D41" s="344"/>
      <c r="E41" s="344"/>
      <c r="F41" s="345"/>
      <c r="G41" s="288"/>
      <c r="H41" s="288"/>
      <c r="I41" s="288"/>
      <c r="J41" s="288"/>
    </row>
    <row r="42" spans="1:11" s="346" customFormat="1" ht="15.75" customHeight="1" x14ac:dyDescent="0.25">
      <c r="A42" s="347"/>
      <c r="B42" s="347"/>
      <c r="C42" s="347"/>
      <c r="D42" s="347"/>
      <c r="E42" s="347"/>
      <c r="G42" s="288"/>
      <c r="H42" s="288"/>
      <c r="I42" s="288"/>
      <c r="J42" s="288"/>
    </row>
    <row r="43" spans="1:11" s="346" customFormat="1" ht="18" customHeight="1" x14ac:dyDescent="0.3">
      <c r="A43" s="459"/>
      <c r="B43" s="459"/>
      <c r="C43" s="459"/>
      <c r="D43" s="459"/>
      <c r="E43" s="459"/>
      <c r="F43" s="370"/>
      <c r="G43" s="288"/>
      <c r="H43" s="288"/>
      <c r="I43" s="288"/>
      <c r="J43" s="288"/>
    </row>
    <row r="44" spans="1:11" s="346" customFormat="1" ht="18" customHeight="1" x14ac:dyDescent="0.25">
      <c r="A44" s="461"/>
      <c r="B44" s="461"/>
      <c r="C44" s="461"/>
      <c r="D44" s="461"/>
      <c r="E44" s="461"/>
      <c r="F44" s="349"/>
      <c r="G44" s="288"/>
      <c r="H44" s="288"/>
      <c r="I44" s="288"/>
      <c r="J44" s="288"/>
    </row>
    <row r="45" spans="1:11" s="346" customFormat="1" ht="18" customHeight="1" x14ac:dyDescent="0.25">
      <c r="A45" s="461"/>
      <c r="B45" s="461"/>
      <c r="C45" s="461"/>
      <c r="D45" s="461"/>
      <c r="E45" s="461"/>
      <c r="F45" s="349"/>
      <c r="G45" s="288"/>
      <c r="H45" s="288"/>
      <c r="I45" s="288"/>
      <c r="J45" s="288"/>
    </row>
    <row r="46" spans="1:11" ht="18" customHeight="1" x14ac:dyDescent="0.25">
      <c r="A46" s="462"/>
      <c r="B46" s="461"/>
      <c r="C46" s="461"/>
      <c r="D46" s="461"/>
      <c r="E46" s="461"/>
      <c r="F46" s="350"/>
    </row>
    <row r="47" spans="1:11" ht="18" customHeight="1" x14ac:dyDescent="0.25">
      <c r="A47" s="461"/>
      <c r="B47" s="461"/>
      <c r="C47" s="461"/>
      <c r="D47" s="461"/>
      <c r="E47" s="461"/>
      <c r="F47" s="350"/>
    </row>
  </sheetData>
  <sortState xmlns:xlrd2="http://schemas.microsoft.com/office/spreadsheetml/2017/richdata2" ref="D16:F18">
    <sortCondition descending="1" ref="F16:F18"/>
  </sortState>
  <mergeCells count="9">
    <mergeCell ref="A47:E47"/>
    <mergeCell ref="A3:E3"/>
    <mergeCell ref="A4:E4"/>
    <mergeCell ref="A5:E6"/>
    <mergeCell ref="F5:F6"/>
    <mergeCell ref="A43:E43"/>
    <mergeCell ref="A44:E44"/>
    <mergeCell ref="A45:E45"/>
    <mergeCell ref="A46:E46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23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906D-E9A9-4212-9D93-A0A1AA8BB460}">
  <sheetPr>
    <pageSetUpPr fitToPage="1"/>
  </sheetPr>
  <dimension ref="A1:U49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11" ht="19.5" customHeight="1" thickBot="1" x14ac:dyDescent="0.3">
      <c r="A1" s="37" t="s">
        <v>33</v>
      </c>
      <c r="B1" s="157"/>
      <c r="C1" s="157"/>
      <c r="D1" s="157"/>
      <c r="E1" s="157"/>
      <c r="F1" s="158" t="str">
        <f>+'USHE-GOV'!N1</f>
        <v>December 6, 2024</v>
      </c>
      <c r="G1" s="404">
        <v>142218100</v>
      </c>
      <c r="H1" s="354"/>
      <c r="K1" s="352"/>
    </row>
    <row r="2" spans="1:1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11" ht="15.75" x14ac:dyDescent="0.25">
      <c r="A3" s="463" t="s">
        <v>214</v>
      </c>
      <c r="B3" s="463"/>
      <c r="C3" s="463"/>
      <c r="D3" s="463"/>
      <c r="E3" s="463"/>
      <c r="F3" s="373"/>
    </row>
    <row r="4" spans="1:11" ht="15.75" x14ac:dyDescent="0.25">
      <c r="A4" s="486"/>
      <c r="B4" s="486"/>
      <c r="C4" s="486"/>
      <c r="D4" s="486"/>
      <c r="E4" s="486"/>
      <c r="F4" s="374"/>
    </row>
    <row r="5" spans="1:1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11" x14ac:dyDescent="0.25">
      <c r="A6" s="468"/>
      <c r="B6" s="469"/>
      <c r="C6" s="469"/>
      <c r="D6" s="469"/>
      <c r="E6" s="470"/>
      <c r="F6" s="485"/>
      <c r="K6" s="291"/>
    </row>
    <row r="7" spans="1:11" ht="15.75" customHeight="1" x14ac:dyDescent="0.35">
      <c r="A7" s="219"/>
      <c r="B7" s="292"/>
      <c r="C7" s="292"/>
      <c r="D7" s="292"/>
      <c r="E7" s="293"/>
      <c r="F7" s="375"/>
    </row>
    <row r="8" spans="1:11" ht="15.75" customHeight="1" x14ac:dyDescent="0.25">
      <c r="A8" s="298"/>
      <c r="B8" s="170" t="s">
        <v>169</v>
      </c>
      <c r="C8" s="251"/>
      <c r="D8" s="251"/>
      <c r="E8" s="162"/>
      <c r="F8" s="162"/>
      <c r="I8" s="299"/>
    </row>
    <row r="9" spans="1:1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4367000</v>
      </c>
      <c r="G9" s="363"/>
    </row>
    <row r="10" spans="1:11" ht="15.75" customHeight="1" x14ac:dyDescent="0.25">
      <c r="A10" s="171"/>
      <c r="B10" s="300"/>
      <c r="C10" s="164"/>
      <c r="D10" s="166" t="s">
        <v>317</v>
      </c>
      <c r="E10" s="162"/>
      <c r="F10" s="376">
        <v>3348300</v>
      </c>
    </row>
    <row r="11" spans="1:11" ht="15.75" customHeight="1" x14ac:dyDescent="0.25">
      <c r="A11" s="171"/>
      <c r="B11" s="300"/>
      <c r="C11" s="164"/>
      <c r="D11" s="166" t="s">
        <v>318</v>
      </c>
      <c r="E11" s="162"/>
      <c r="F11" s="255">
        <v>1018700</v>
      </c>
    </row>
    <row r="12" spans="1:11" ht="15.75" customHeight="1" x14ac:dyDescent="0.25">
      <c r="A12" s="171"/>
      <c r="B12" s="300"/>
      <c r="C12" s="164" t="s">
        <v>141</v>
      </c>
      <c r="D12" s="166"/>
      <c r="E12" s="162"/>
      <c r="F12" s="255">
        <f>+F13</f>
        <v>68200</v>
      </c>
    </row>
    <row r="13" spans="1:11" ht="15.75" customHeight="1" x14ac:dyDescent="0.25">
      <c r="A13" s="171"/>
      <c r="B13" s="300"/>
      <c r="C13" s="164"/>
      <c r="D13" s="166" t="s">
        <v>258</v>
      </c>
      <c r="E13" s="162"/>
      <c r="F13" s="255">
        <v>68200</v>
      </c>
    </row>
    <row r="14" spans="1:11" ht="15.75" customHeight="1" x14ac:dyDescent="0.25">
      <c r="A14" s="171"/>
      <c r="B14" s="300"/>
      <c r="C14" s="164" t="s">
        <v>205</v>
      </c>
      <c r="D14" s="364"/>
      <c r="E14" s="162"/>
      <c r="F14" s="255">
        <f>SUM(F15:F16)</f>
        <v>609400</v>
      </c>
    </row>
    <row r="15" spans="1:11" ht="15.75" customHeight="1" x14ac:dyDescent="0.25">
      <c r="A15" s="171"/>
      <c r="B15" s="300"/>
      <c r="C15" s="164"/>
      <c r="D15" s="365" t="s">
        <v>258</v>
      </c>
      <c r="E15" s="162"/>
      <c r="F15" s="255">
        <f>539500-68200</f>
        <v>471300</v>
      </c>
      <c r="K15" s="413"/>
    </row>
    <row r="16" spans="1:11" ht="15.75" customHeight="1" x14ac:dyDescent="0.25">
      <c r="A16" s="171"/>
      <c r="B16" s="300"/>
      <c r="C16" s="164"/>
      <c r="D16" s="365" t="s">
        <v>153</v>
      </c>
      <c r="E16" s="162"/>
      <c r="F16" s="255">
        <v>138100</v>
      </c>
    </row>
    <row r="17" spans="1:21" ht="15.75" hidden="1" customHeight="1" x14ac:dyDescent="0.25">
      <c r="A17" s="171"/>
      <c r="B17" s="300"/>
      <c r="C17" s="164" t="s">
        <v>141</v>
      </c>
      <c r="D17" s="364"/>
      <c r="E17" s="162"/>
      <c r="F17" s="255">
        <f>SUM(F18:F19)</f>
        <v>0</v>
      </c>
    </row>
    <row r="18" spans="1:21" ht="15.75" hidden="1" customHeight="1" x14ac:dyDescent="0.25">
      <c r="A18" s="171"/>
      <c r="B18" s="300"/>
      <c r="C18" s="164"/>
      <c r="D18" s="430" t="s">
        <v>203</v>
      </c>
      <c r="E18" s="162"/>
      <c r="F18" s="255">
        <v>0</v>
      </c>
      <c r="K18" s="413"/>
    </row>
    <row r="19" spans="1:21" ht="15.75" hidden="1" customHeight="1" x14ac:dyDescent="0.25">
      <c r="A19" s="171"/>
      <c r="B19" s="300"/>
      <c r="C19" s="164"/>
      <c r="D19" s="430" t="s">
        <v>201</v>
      </c>
      <c r="E19" s="162"/>
      <c r="F19" s="255">
        <v>0</v>
      </c>
    </row>
    <row r="20" spans="1:21" s="288" customFormat="1" ht="15.75" customHeight="1" x14ac:dyDescent="0.25">
      <c r="A20" s="171"/>
      <c r="B20" s="300"/>
      <c r="C20" s="164" t="s">
        <v>48</v>
      </c>
      <c r="D20" s="365"/>
      <c r="E20" s="162"/>
      <c r="F20" s="262">
        <f>SUM(F21:F23)</f>
        <v>-452800</v>
      </c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1" s="288" customFormat="1" ht="15.75" customHeight="1" x14ac:dyDescent="0.25">
      <c r="A21" s="171"/>
      <c r="B21" s="300"/>
      <c r="C21" s="164"/>
      <c r="D21" s="365" t="s">
        <v>295</v>
      </c>
      <c r="E21" s="162"/>
      <c r="F21" s="255">
        <f>-640300-62500</f>
        <v>-702800</v>
      </c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1" s="288" customFormat="1" ht="15.75" customHeight="1" x14ac:dyDescent="0.25">
      <c r="A22" s="171"/>
      <c r="B22" s="300"/>
      <c r="C22" s="164"/>
      <c r="D22" s="365" t="s">
        <v>290</v>
      </c>
      <c r="E22" s="162"/>
      <c r="F22" s="255">
        <v>250000</v>
      </c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</row>
    <row r="23" spans="1:21" s="288" customFormat="1" ht="15.75" hidden="1" customHeight="1" x14ac:dyDescent="0.25">
      <c r="A23" s="171"/>
      <c r="B23" s="300"/>
      <c r="C23" s="164"/>
      <c r="D23" s="430" t="s">
        <v>254</v>
      </c>
      <c r="E23" s="162"/>
      <c r="F23" s="255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</row>
    <row r="24" spans="1:21" s="288" customFormat="1" ht="15.75" customHeight="1" x14ac:dyDescent="0.25">
      <c r="A24" s="182"/>
      <c r="B24" s="303"/>
      <c r="C24" s="304"/>
      <c r="D24" s="183"/>
      <c r="E24" s="185"/>
      <c r="F24" s="377"/>
      <c r="K24" s="289"/>
    </row>
    <row r="25" spans="1:21" s="288" customFormat="1" ht="15.75" customHeight="1" x14ac:dyDescent="0.25">
      <c r="A25" s="178"/>
      <c r="B25" s="179"/>
      <c r="C25" s="179"/>
      <c r="D25" s="180"/>
      <c r="E25" s="181"/>
      <c r="F25" s="378"/>
      <c r="K25" s="289"/>
    </row>
    <row r="26" spans="1:21" s="288" customFormat="1" ht="15.75" customHeight="1" x14ac:dyDescent="0.25">
      <c r="A26" s="171"/>
      <c r="B26" s="170" t="s">
        <v>321</v>
      </c>
      <c r="C26" s="170"/>
      <c r="D26" s="170"/>
      <c r="E26" s="172"/>
      <c r="F26" s="379">
        <f>+F17+F20+F9+F14+F12</f>
        <v>4591800</v>
      </c>
      <c r="K26" s="289"/>
    </row>
    <row r="27" spans="1:21" ht="15.75" customHeight="1" x14ac:dyDescent="0.25">
      <c r="A27" s="171"/>
      <c r="B27" s="170"/>
      <c r="C27" s="251" t="s">
        <v>177</v>
      </c>
      <c r="D27" s="170"/>
      <c r="E27" s="172"/>
      <c r="F27" s="380">
        <f>+F26/$G$1</f>
        <v>3.2287029569372676E-2</v>
      </c>
    </row>
    <row r="28" spans="1:21" s="320" customFormat="1" ht="15.75" customHeight="1" x14ac:dyDescent="0.25">
      <c r="A28" s="310"/>
      <c r="B28" s="311"/>
      <c r="C28" s="312"/>
      <c r="D28" s="313"/>
      <c r="E28" s="314"/>
      <c r="F28" s="384"/>
    </row>
    <row r="29" spans="1:21" s="320" customFormat="1" ht="15.75" customHeight="1" x14ac:dyDescent="0.25">
      <c r="A29" s="387"/>
      <c r="B29" s="338"/>
      <c r="C29" s="407"/>
      <c r="D29" s="390"/>
      <c r="E29" s="339"/>
      <c r="F29" s="248"/>
      <c r="K29" s="332"/>
    </row>
    <row r="30" spans="1:21" ht="15.75" customHeight="1" x14ac:dyDescent="0.25">
      <c r="A30" s="171"/>
      <c r="B30" s="163" t="s">
        <v>100</v>
      </c>
      <c r="C30" s="300"/>
      <c r="D30" s="251"/>
      <c r="E30" s="162"/>
      <c r="F30" s="383"/>
    </row>
    <row r="31" spans="1:21" s="309" customFormat="1" ht="15.75" customHeight="1" x14ac:dyDescent="0.25">
      <c r="A31" s="160"/>
      <c r="B31" s="251"/>
      <c r="C31" s="365" t="s">
        <v>322</v>
      </c>
      <c r="D31" s="166"/>
      <c r="E31" s="162"/>
      <c r="F31" s="255">
        <v>810800</v>
      </c>
      <c r="G31" s="288"/>
      <c r="H31" s="288"/>
      <c r="I31" s="288"/>
      <c r="J31" s="288"/>
    </row>
    <row r="32" spans="1:21" s="309" customFormat="1" ht="15.75" customHeight="1" x14ac:dyDescent="0.25">
      <c r="A32" s="160"/>
      <c r="B32" s="251"/>
      <c r="C32" s="365" t="s">
        <v>295</v>
      </c>
      <c r="D32" s="166"/>
      <c r="E32" s="162"/>
      <c r="F32" s="255">
        <v>702800</v>
      </c>
      <c r="G32" s="288"/>
      <c r="H32" s="288"/>
      <c r="I32" s="288"/>
      <c r="J32" s="288"/>
    </row>
    <row r="33" spans="1:11" s="309" customFormat="1" ht="15.75" customHeight="1" x14ac:dyDescent="0.25">
      <c r="A33" s="160"/>
      <c r="B33" s="251"/>
      <c r="C33" s="365" t="s">
        <v>259</v>
      </c>
      <c r="D33" s="166"/>
      <c r="E33" s="162"/>
      <c r="F33" s="255">
        <v>-767400</v>
      </c>
      <c r="G33" s="288"/>
      <c r="H33" s="288"/>
      <c r="I33" s="288"/>
      <c r="J33" s="288"/>
    </row>
    <row r="34" spans="1:11" s="309" customFormat="1" ht="15.75" hidden="1" customHeight="1" x14ac:dyDescent="0.25">
      <c r="A34" s="160"/>
      <c r="B34" s="251"/>
      <c r="C34" s="430" t="s">
        <v>258</v>
      </c>
      <c r="D34" s="166"/>
      <c r="E34" s="162"/>
      <c r="F34" s="255"/>
      <c r="G34" s="288"/>
      <c r="H34" s="288"/>
      <c r="I34" s="288"/>
      <c r="J34" s="288"/>
    </row>
    <row r="35" spans="1:11" s="309" customFormat="1" ht="15.75" customHeight="1" x14ac:dyDescent="0.25">
      <c r="A35" s="184"/>
      <c r="B35" s="183"/>
      <c r="C35" s="405"/>
      <c r="D35" s="304"/>
      <c r="E35" s="185"/>
      <c r="F35" s="406"/>
      <c r="G35" s="288"/>
      <c r="H35" s="288"/>
      <c r="I35" s="288"/>
      <c r="J35" s="288"/>
    </row>
    <row r="36" spans="1:11" s="320" customFormat="1" ht="15.75" customHeight="1" x14ac:dyDescent="0.25">
      <c r="A36" s="321"/>
      <c r="B36" s="322"/>
      <c r="C36" s="323"/>
      <c r="D36" s="324"/>
      <c r="E36" s="339"/>
      <c r="F36" s="248"/>
      <c r="K36" s="332"/>
    </row>
    <row r="37" spans="1:11" s="320" customFormat="1" ht="15.75" customHeight="1" x14ac:dyDescent="0.25">
      <c r="A37" s="321"/>
      <c r="B37" s="333" t="s">
        <v>211</v>
      </c>
      <c r="C37" s="333"/>
      <c r="D37" s="333"/>
      <c r="E37" s="334"/>
      <c r="F37" s="385">
        <f>SUM(F31:F34)</f>
        <v>746200</v>
      </c>
      <c r="K37" s="332"/>
    </row>
    <row r="38" spans="1:11" s="320" customFormat="1" ht="15.75" customHeight="1" x14ac:dyDescent="0.25">
      <c r="A38" s="321"/>
      <c r="B38" s="333"/>
      <c r="C38" s="322" t="s">
        <v>177</v>
      </c>
      <c r="D38" s="333"/>
      <c r="E38" s="334"/>
      <c r="F38" s="380">
        <f>+F37/G1</f>
        <v>5.2468708272716338E-3</v>
      </c>
      <c r="K38" s="332"/>
    </row>
    <row r="39" spans="1:11" s="320" customFormat="1" ht="15.75" customHeight="1" x14ac:dyDescent="0.25">
      <c r="A39" s="335"/>
      <c r="B39" s="311"/>
      <c r="C39" s="311"/>
      <c r="D39" s="311"/>
      <c r="E39" s="314"/>
      <c r="F39" s="386"/>
      <c r="K39" s="332"/>
    </row>
    <row r="40" spans="1:11" s="320" customFormat="1" ht="15.75" customHeight="1" x14ac:dyDescent="0.25">
      <c r="A40" s="387"/>
      <c r="B40" s="338"/>
      <c r="C40" s="338"/>
      <c r="D40" s="338"/>
      <c r="E40" s="338"/>
      <c r="F40" s="388"/>
      <c r="K40" s="332"/>
    </row>
    <row r="41" spans="1:11" s="341" customFormat="1" ht="15.75" customHeight="1" x14ac:dyDescent="0.3">
      <c r="A41" s="273" t="s">
        <v>320</v>
      </c>
      <c r="B41" s="189"/>
      <c r="C41" s="189"/>
      <c r="D41" s="189"/>
      <c r="E41" s="189"/>
      <c r="F41" s="274">
        <f>+F26+F37</f>
        <v>5338000</v>
      </c>
      <c r="G41" s="299"/>
      <c r="H41" s="299"/>
      <c r="I41" s="299"/>
      <c r="J41" s="299"/>
    </row>
    <row r="42" spans="1:11" s="341" customFormat="1" ht="15.75" customHeight="1" x14ac:dyDescent="0.25">
      <c r="A42" s="273"/>
      <c r="B42" s="189"/>
      <c r="C42" s="216" t="s">
        <v>177</v>
      </c>
      <c r="D42" s="217"/>
      <c r="E42" s="217"/>
      <c r="F42" s="389">
        <f>+F41/G1</f>
        <v>3.753390039664431E-2</v>
      </c>
      <c r="G42" s="299"/>
      <c r="H42" s="299"/>
      <c r="I42" s="299"/>
      <c r="J42" s="299"/>
    </row>
    <row r="43" spans="1:11" s="346" customFormat="1" ht="15.75" customHeight="1" x14ac:dyDescent="0.25">
      <c r="A43" s="343"/>
      <c r="B43" s="344"/>
      <c r="C43" s="344"/>
      <c r="D43" s="344"/>
      <c r="E43" s="344"/>
      <c r="F43" s="345"/>
      <c r="G43" s="288"/>
      <c r="H43" s="288"/>
      <c r="I43" s="288"/>
      <c r="J43" s="288"/>
    </row>
    <row r="44" spans="1:11" s="346" customFormat="1" ht="15.75" customHeight="1" x14ac:dyDescent="0.25">
      <c r="A44" s="347"/>
      <c r="B44" s="347"/>
      <c r="C44" s="347"/>
      <c r="D44" s="347"/>
      <c r="E44" s="347"/>
      <c r="G44" s="288"/>
      <c r="H44" s="288"/>
      <c r="I44" s="288"/>
      <c r="J44" s="288"/>
    </row>
    <row r="45" spans="1:11" s="346" customFormat="1" ht="18" customHeight="1" x14ac:dyDescent="0.3">
      <c r="A45" s="459"/>
      <c r="B45" s="459"/>
      <c r="C45" s="459"/>
      <c r="D45" s="459"/>
      <c r="E45" s="459"/>
      <c r="F45" s="370"/>
      <c r="G45" s="288"/>
      <c r="H45" s="288"/>
      <c r="I45" s="288"/>
      <c r="J45" s="288"/>
    </row>
    <row r="46" spans="1:11" s="346" customFormat="1" ht="18" customHeight="1" x14ac:dyDescent="0.25">
      <c r="A46" s="461"/>
      <c r="B46" s="461"/>
      <c r="C46" s="461"/>
      <c r="D46" s="461"/>
      <c r="E46" s="461"/>
      <c r="F46" s="349"/>
      <c r="G46" s="288"/>
      <c r="H46" s="288"/>
      <c r="I46" s="288"/>
      <c r="J46" s="288"/>
    </row>
    <row r="47" spans="1:11" s="346" customFormat="1" ht="18" customHeight="1" x14ac:dyDescent="0.25">
      <c r="A47" s="461"/>
      <c r="B47" s="461"/>
      <c r="C47" s="461"/>
      <c r="D47" s="461"/>
      <c r="E47" s="461"/>
      <c r="F47" s="349"/>
      <c r="G47" s="288"/>
      <c r="H47" s="288"/>
      <c r="I47" s="288"/>
      <c r="J47" s="288"/>
    </row>
    <row r="48" spans="1:11" ht="18" customHeight="1" x14ac:dyDescent="0.25">
      <c r="A48" s="462"/>
      <c r="B48" s="461"/>
      <c r="C48" s="461"/>
      <c r="D48" s="461"/>
      <c r="E48" s="461"/>
      <c r="F48" s="350"/>
    </row>
    <row r="49" spans="1:6" ht="18" customHeight="1" x14ac:dyDescent="0.25">
      <c r="A49" s="461"/>
      <c r="B49" s="461"/>
      <c r="C49" s="461"/>
      <c r="D49" s="461"/>
      <c r="E49" s="461"/>
      <c r="F49" s="350"/>
    </row>
  </sheetData>
  <sortState xmlns:xlrd2="http://schemas.microsoft.com/office/spreadsheetml/2017/richdata2" ref="C31:F33">
    <sortCondition descending="1" ref="F31:F33"/>
  </sortState>
  <mergeCells count="9">
    <mergeCell ref="A49:E49"/>
    <mergeCell ref="A3:E3"/>
    <mergeCell ref="A4:E4"/>
    <mergeCell ref="A5:E6"/>
    <mergeCell ref="F5:F6"/>
    <mergeCell ref="A45:E45"/>
    <mergeCell ref="A46:E46"/>
    <mergeCell ref="A47:E47"/>
    <mergeCell ref="A48:E48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BF04-0D54-4A67-956D-1D2D493DD6F3}">
  <sheetPr>
    <pageSetUpPr fitToPage="1"/>
  </sheetPr>
  <dimension ref="A1:U42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186</v>
      </c>
      <c r="B1" s="157"/>
      <c r="C1" s="157"/>
      <c r="D1" s="157"/>
      <c r="E1" s="157"/>
      <c r="F1" s="158" t="str">
        <f>+'USHE-GOV'!N1</f>
        <v>December 6, 2024</v>
      </c>
      <c r="G1" s="404">
        <v>22959700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677100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449400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227700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SUM(F13:F14)</f>
        <v>405000</v>
      </c>
    </row>
    <row r="13" spans="1:21" ht="15.75" customHeight="1" x14ac:dyDescent="0.25">
      <c r="A13" s="171"/>
      <c r="B13" s="300"/>
      <c r="C13" s="164"/>
      <c r="D13" s="365" t="s">
        <v>258</v>
      </c>
      <c r="E13" s="162"/>
      <c r="F13" s="255">
        <v>336000</v>
      </c>
    </row>
    <row r="14" spans="1:21" ht="15.75" customHeight="1" x14ac:dyDescent="0.25">
      <c r="A14" s="171"/>
      <c r="B14" s="300"/>
      <c r="C14" s="164"/>
      <c r="D14" s="365" t="s">
        <v>153</v>
      </c>
      <c r="E14" s="162"/>
      <c r="F14" s="255">
        <v>69000</v>
      </c>
    </row>
    <row r="15" spans="1:21" s="288" customFormat="1" ht="15.75" customHeight="1" x14ac:dyDescent="0.25">
      <c r="A15" s="171"/>
      <c r="B15" s="300"/>
      <c r="C15" s="164" t="s">
        <v>48</v>
      </c>
      <c r="D15" s="365"/>
      <c r="E15" s="162"/>
      <c r="F15" s="262">
        <f>SUM(F16:F17)</f>
        <v>-113200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300"/>
      <c r="C16" s="164"/>
      <c r="D16" s="365" t="s">
        <v>295</v>
      </c>
      <c r="E16" s="162"/>
      <c r="F16" s="255">
        <v>-113200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hidden="1" customHeight="1" x14ac:dyDescent="0.25">
      <c r="A17" s="171"/>
      <c r="B17" s="300"/>
      <c r="C17" s="164"/>
      <c r="D17" s="430" t="s">
        <v>254</v>
      </c>
      <c r="E17" s="162"/>
      <c r="F17" s="255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82"/>
      <c r="B18" s="303"/>
      <c r="C18" s="304"/>
      <c r="D18" s="183"/>
      <c r="E18" s="185"/>
      <c r="F18" s="377"/>
      <c r="K18" s="289"/>
    </row>
    <row r="19" spans="1:21" s="288" customFormat="1" ht="15.75" customHeight="1" x14ac:dyDescent="0.25">
      <c r="A19" s="178"/>
      <c r="B19" s="179"/>
      <c r="C19" s="179"/>
      <c r="D19" s="180"/>
      <c r="E19" s="181"/>
      <c r="F19" s="378"/>
      <c r="K19" s="289"/>
    </row>
    <row r="20" spans="1:21" s="288" customFormat="1" ht="15.75" customHeight="1" x14ac:dyDescent="0.25">
      <c r="A20" s="171"/>
      <c r="B20" s="170" t="s">
        <v>321</v>
      </c>
      <c r="C20" s="170"/>
      <c r="D20" s="170"/>
      <c r="E20" s="172"/>
      <c r="F20" s="379">
        <f>+F12+F15+F9</f>
        <v>968900</v>
      </c>
      <c r="K20" s="289"/>
    </row>
    <row r="21" spans="1:21" ht="15.75" customHeight="1" x14ac:dyDescent="0.25">
      <c r="A21" s="171"/>
      <c r="B21" s="170"/>
      <c r="C21" s="251" t="s">
        <v>177</v>
      </c>
      <c r="D21" s="170"/>
      <c r="E21" s="172"/>
      <c r="F21" s="380">
        <f>+F20/$G$1</f>
        <v>4.2200028746020198E-2</v>
      </c>
    </row>
    <row r="22" spans="1:21" s="320" customFormat="1" ht="15.75" customHeight="1" x14ac:dyDescent="0.25">
      <c r="A22" s="310"/>
      <c r="B22" s="311"/>
      <c r="C22" s="312"/>
      <c r="D22" s="313"/>
      <c r="E22" s="314"/>
      <c r="F22" s="384"/>
    </row>
    <row r="23" spans="1:21" s="320" customFormat="1" ht="15.75" customHeight="1" x14ac:dyDescent="0.25">
      <c r="A23" s="387"/>
      <c r="B23" s="338"/>
      <c r="C23" s="407"/>
      <c r="D23" s="390"/>
      <c r="E23" s="339"/>
      <c r="F23" s="248"/>
      <c r="K23" s="332"/>
    </row>
    <row r="24" spans="1:21" ht="15.75" customHeight="1" x14ac:dyDescent="0.25">
      <c r="A24" s="171"/>
      <c r="B24" s="163" t="s">
        <v>100</v>
      </c>
      <c r="C24" s="300"/>
      <c r="D24" s="251"/>
      <c r="E24" s="162"/>
      <c r="F24" s="383"/>
    </row>
    <row r="25" spans="1:21" s="309" customFormat="1" ht="15.75" customHeight="1" x14ac:dyDescent="0.25">
      <c r="A25" s="160"/>
      <c r="B25" s="251"/>
      <c r="C25" s="365" t="s">
        <v>295</v>
      </c>
      <c r="D25" s="166"/>
      <c r="E25" s="162"/>
      <c r="F25" s="255">
        <v>113200</v>
      </c>
      <c r="G25" s="288"/>
      <c r="H25" s="288"/>
      <c r="I25" s="288"/>
      <c r="J25" s="288"/>
    </row>
    <row r="26" spans="1:21" s="309" customFormat="1" ht="15.75" hidden="1" customHeight="1" x14ac:dyDescent="0.25">
      <c r="A26" s="160"/>
      <c r="B26" s="251"/>
      <c r="C26" s="430" t="s">
        <v>258</v>
      </c>
      <c r="D26" s="166"/>
      <c r="E26" s="162"/>
      <c r="F26" s="255"/>
      <c r="G26" s="288"/>
      <c r="H26" s="288"/>
      <c r="I26" s="288"/>
      <c r="J26" s="288"/>
    </row>
    <row r="27" spans="1:21" s="309" customFormat="1" ht="15.75" customHeight="1" x14ac:dyDescent="0.25">
      <c r="A27" s="160"/>
      <c r="B27" s="251"/>
      <c r="C27" s="365" t="s">
        <v>299</v>
      </c>
      <c r="D27" s="166"/>
      <c r="E27" s="162"/>
      <c r="F27" s="255">
        <v>-121500</v>
      </c>
      <c r="G27" s="288"/>
      <c r="H27" s="288"/>
      <c r="I27" s="288"/>
      <c r="J27" s="288"/>
    </row>
    <row r="28" spans="1:21" s="309" customFormat="1" ht="15.75" customHeight="1" x14ac:dyDescent="0.25">
      <c r="A28" s="184"/>
      <c r="B28" s="183"/>
      <c r="C28" s="405"/>
      <c r="D28" s="304"/>
      <c r="E28" s="185"/>
      <c r="F28" s="406"/>
      <c r="G28" s="288"/>
      <c r="H28" s="288"/>
      <c r="I28" s="288"/>
      <c r="J28" s="288"/>
    </row>
    <row r="29" spans="1:21" s="320" customFormat="1" ht="15.75" customHeight="1" x14ac:dyDescent="0.25">
      <c r="A29" s="321"/>
      <c r="B29" s="322"/>
      <c r="C29" s="323"/>
      <c r="D29" s="324"/>
      <c r="E29" s="339"/>
      <c r="F29" s="248"/>
      <c r="K29" s="332"/>
    </row>
    <row r="30" spans="1:21" s="320" customFormat="1" ht="15.75" customHeight="1" x14ac:dyDescent="0.25">
      <c r="A30" s="321"/>
      <c r="B30" s="333" t="s">
        <v>211</v>
      </c>
      <c r="C30" s="333"/>
      <c r="D30" s="333"/>
      <c r="E30" s="334"/>
      <c r="F30" s="385">
        <f>SUM(F25:F27)</f>
        <v>-8300</v>
      </c>
      <c r="K30" s="332"/>
    </row>
    <row r="31" spans="1:21" s="320" customFormat="1" ht="15.75" customHeight="1" x14ac:dyDescent="0.25">
      <c r="A31" s="321"/>
      <c r="B31" s="333"/>
      <c r="C31" s="322" t="s">
        <v>177</v>
      </c>
      <c r="D31" s="333"/>
      <c r="E31" s="334"/>
      <c r="F31" s="380">
        <f>+F30/G1</f>
        <v>-3.6150298131073139E-4</v>
      </c>
      <c r="K31" s="332"/>
    </row>
    <row r="32" spans="1:21" s="320" customFormat="1" ht="15.75" customHeight="1" x14ac:dyDescent="0.25">
      <c r="A32" s="335"/>
      <c r="B32" s="311"/>
      <c r="C32" s="311"/>
      <c r="D32" s="311"/>
      <c r="E32" s="314"/>
      <c r="F32" s="386"/>
      <c r="K32" s="332"/>
    </row>
    <row r="33" spans="1:11" s="320" customFormat="1" ht="15.75" customHeight="1" x14ac:dyDescent="0.25">
      <c r="A33" s="387"/>
      <c r="B33" s="338"/>
      <c r="C33" s="338"/>
      <c r="D33" s="338"/>
      <c r="E33" s="338"/>
      <c r="F33" s="388"/>
      <c r="K33" s="332"/>
    </row>
    <row r="34" spans="1:11" s="341" customFormat="1" ht="15.75" customHeight="1" x14ac:dyDescent="0.3">
      <c r="A34" s="273" t="s">
        <v>320</v>
      </c>
      <c r="B34" s="189"/>
      <c r="C34" s="189"/>
      <c r="D34" s="189"/>
      <c r="E34" s="189"/>
      <c r="F34" s="274">
        <f>+F20+F30</f>
        <v>960600</v>
      </c>
      <c r="G34" s="299"/>
      <c r="H34" s="299"/>
      <c r="I34" s="299"/>
      <c r="J34" s="299"/>
    </row>
    <row r="35" spans="1:11" s="341" customFormat="1" ht="15.75" customHeight="1" x14ac:dyDescent="0.25">
      <c r="A35" s="273"/>
      <c r="B35" s="189"/>
      <c r="C35" s="216" t="s">
        <v>177</v>
      </c>
      <c r="D35" s="217"/>
      <c r="E35" s="217"/>
      <c r="F35" s="389">
        <f>+F34/G1</f>
        <v>4.1838525764709471E-2</v>
      </c>
      <c r="G35" s="299"/>
      <c r="H35" s="299"/>
      <c r="I35" s="299"/>
      <c r="J35" s="299"/>
    </row>
    <row r="36" spans="1:11" s="346" customFormat="1" ht="15.75" customHeight="1" x14ac:dyDescent="0.25">
      <c r="A36" s="343"/>
      <c r="B36" s="344"/>
      <c r="C36" s="344"/>
      <c r="D36" s="344"/>
      <c r="E36" s="344"/>
      <c r="F36" s="345"/>
      <c r="G36" s="288"/>
      <c r="H36" s="288"/>
      <c r="I36" s="288"/>
      <c r="J36" s="288"/>
    </row>
    <row r="37" spans="1:11" s="346" customFormat="1" ht="15.75" customHeight="1" x14ac:dyDescent="0.25">
      <c r="A37" s="347"/>
      <c r="B37" s="347"/>
      <c r="C37" s="347"/>
      <c r="D37" s="347"/>
      <c r="E37" s="347"/>
      <c r="G37" s="288"/>
      <c r="H37" s="288"/>
      <c r="I37" s="288"/>
      <c r="J37" s="288"/>
    </row>
    <row r="38" spans="1:11" s="346" customFormat="1" ht="18" customHeight="1" x14ac:dyDescent="0.3">
      <c r="A38" s="459"/>
      <c r="B38" s="459"/>
      <c r="C38" s="459"/>
      <c r="D38" s="459"/>
      <c r="E38" s="459"/>
      <c r="F38" s="370"/>
      <c r="G38" s="288"/>
      <c r="H38" s="288"/>
      <c r="I38" s="288"/>
      <c r="J38" s="288"/>
    </row>
    <row r="39" spans="1:11" s="346" customFormat="1" ht="18" customHeight="1" x14ac:dyDescent="0.25">
      <c r="A39" s="461"/>
      <c r="B39" s="461"/>
      <c r="C39" s="461"/>
      <c r="D39" s="461"/>
      <c r="E39" s="461"/>
      <c r="F39" s="349"/>
      <c r="G39" s="288"/>
      <c r="H39" s="288"/>
      <c r="I39" s="288"/>
      <c r="J39" s="288"/>
    </row>
    <row r="40" spans="1:11" s="346" customFormat="1" ht="18" customHeight="1" x14ac:dyDescent="0.25">
      <c r="A40" s="461"/>
      <c r="B40" s="461"/>
      <c r="C40" s="461"/>
      <c r="D40" s="461"/>
      <c r="E40" s="461"/>
      <c r="F40" s="349"/>
      <c r="G40" s="288"/>
      <c r="H40" s="288"/>
      <c r="I40" s="288"/>
      <c r="J40" s="288"/>
    </row>
    <row r="41" spans="1:11" ht="18" customHeight="1" x14ac:dyDescent="0.25">
      <c r="A41" s="462"/>
      <c r="B41" s="461"/>
      <c r="C41" s="461"/>
      <c r="D41" s="461"/>
      <c r="E41" s="461"/>
      <c r="F41" s="350"/>
    </row>
    <row r="42" spans="1:11" ht="18" customHeight="1" x14ac:dyDescent="0.25">
      <c r="A42" s="461"/>
      <c r="B42" s="461"/>
      <c r="C42" s="461"/>
      <c r="D42" s="461"/>
      <c r="E42" s="461"/>
      <c r="F42" s="350"/>
    </row>
  </sheetData>
  <sortState xmlns:xlrd2="http://schemas.microsoft.com/office/spreadsheetml/2017/richdata2" ref="C25:F27">
    <sortCondition descending="1" ref="F25:F27"/>
  </sortState>
  <mergeCells count="9">
    <mergeCell ref="A42:E42"/>
    <mergeCell ref="A3:E3"/>
    <mergeCell ref="A4:E4"/>
    <mergeCell ref="A5:E6"/>
    <mergeCell ref="F5:F6"/>
    <mergeCell ref="A38:E38"/>
    <mergeCell ref="A39:E39"/>
    <mergeCell ref="A40:E40"/>
    <mergeCell ref="A41:E41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AE72-C82B-4BD3-BBFE-F56CAF170661}">
  <sheetPr>
    <pageSetUpPr fitToPage="1"/>
  </sheetPr>
  <dimension ref="A1:U45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187</v>
      </c>
      <c r="B1" s="157"/>
      <c r="C1" s="157"/>
      <c r="D1" s="157"/>
      <c r="E1" s="157"/>
      <c r="F1" s="158" t="str">
        <f>+'USHE-GOV'!N1</f>
        <v>December 6, 2024</v>
      </c>
      <c r="G1" s="404">
        <v>27136000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880200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629100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251100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SUM(F13:F15)</f>
        <v>1049500</v>
      </c>
    </row>
    <row r="13" spans="1:21" ht="15.75" customHeight="1" x14ac:dyDescent="0.25">
      <c r="A13" s="171"/>
      <c r="B13" s="300"/>
      <c r="C13" s="164"/>
      <c r="D13" s="365" t="s">
        <v>140</v>
      </c>
      <c r="E13" s="162"/>
      <c r="F13" s="255">
        <v>741000</v>
      </c>
    </row>
    <row r="14" spans="1:21" ht="15.75" customHeight="1" x14ac:dyDescent="0.25">
      <c r="A14" s="171"/>
      <c r="B14" s="300"/>
      <c r="C14" s="164"/>
      <c r="D14" s="365" t="s">
        <v>258</v>
      </c>
      <c r="E14" s="162"/>
      <c r="F14" s="255">
        <v>234600</v>
      </c>
    </row>
    <row r="15" spans="1:21" ht="15.75" customHeight="1" x14ac:dyDescent="0.25">
      <c r="A15" s="171"/>
      <c r="B15" s="300"/>
      <c r="C15" s="164"/>
      <c r="D15" s="365" t="s">
        <v>153</v>
      </c>
      <c r="E15" s="162"/>
      <c r="F15" s="255">
        <v>73900</v>
      </c>
    </row>
    <row r="16" spans="1:21" s="288" customFormat="1" ht="15.75" customHeight="1" x14ac:dyDescent="0.25">
      <c r="A16" s="171"/>
      <c r="B16" s="300"/>
      <c r="C16" s="164" t="s">
        <v>48</v>
      </c>
      <c r="D16" s="365"/>
      <c r="E16" s="162"/>
      <c r="F16" s="262">
        <f>SUM(F17:H19)</f>
        <v>-133800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295</v>
      </c>
      <c r="E17" s="162"/>
      <c r="F17" s="255">
        <v>-133800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D18" s="430" t="s">
        <v>255</v>
      </c>
      <c r="E18" s="162"/>
      <c r="F18" s="255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hidden="1" customHeight="1" x14ac:dyDescent="0.25">
      <c r="A19" s="171"/>
      <c r="B19" s="300"/>
      <c r="C19" s="164"/>
      <c r="D19" s="430" t="s">
        <v>275</v>
      </c>
      <c r="E19" s="162"/>
      <c r="F19" s="255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82"/>
      <c r="B20" s="303"/>
      <c r="C20" s="304"/>
      <c r="D20" s="183"/>
      <c r="E20" s="185"/>
      <c r="F20" s="377"/>
      <c r="K20" s="289"/>
    </row>
    <row r="21" spans="1:21" s="288" customFormat="1" ht="15.75" customHeight="1" x14ac:dyDescent="0.25">
      <c r="A21" s="178"/>
      <c r="B21" s="179"/>
      <c r="C21" s="179"/>
      <c r="D21" s="180"/>
      <c r="E21" s="181"/>
      <c r="F21" s="378"/>
      <c r="K21" s="289"/>
    </row>
    <row r="22" spans="1:21" s="288" customFormat="1" ht="15.75" customHeight="1" x14ac:dyDescent="0.25">
      <c r="A22" s="171"/>
      <c r="B22" s="170" t="s">
        <v>321</v>
      </c>
      <c r="C22" s="170"/>
      <c r="D22" s="170"/>
      <c r="E22" s="172"/>
      <c r="F22" s="379">
        <f>+F12+F16+F9</f>
        <v>1795900</v>
      </c>
      <c r="K22" s="289"/>
    </row>
    <row r="23" spans="1:21" ht="15.75" customHeight="1" x14ac:dyDescent="0.25">
      <c r="A23" s="171"/>
      <c r="B23" s="170"/>
      <c r="C23" s="251" t="s">
        <v>177</v>
      </c>
      <c r="D23" s="170"/>
      <c r="E23" s="172"/>
      <c r="F23" s="380">
        <f>+F22/$G$1</f>
        <v>6.6181456367924524E-2</v>
      </c>
    </row>
    <row r="24" spans="1:21" s="320" customFormat="1" ht="15.75" customHeight="1" x14ac:dyDescent="0.25">
      <c r="A24" s="310"/>
      <c r="B24" s="311"/>
      <c r="C24" s="312"/>
      <c r="D24" s="313"/>
      <c r="E24" s="314"/>
      <c r="F24" s="384"/>
    </row>
    <row r="25" spans="1:21" s="320" customFormat="1" ht="15.75" customHeight="1" x14ac:dyDescent="0.25">
      <c r="A25" s="387"/>
      <c r="B25" s="338"/>
      <c r="C25" s="407"/>
      <c r="D25" s="390"/>
      <c r="E25" s="339"/>
      <c r="F25" s="248"/>
      <c r="K25" s="332"/>
    </row>
    <row r="26" spans="1:21" ht="15.75" customHeight="1" x14ac:dyDescent="0.25">
      <c r="A26" s="171"/>
      <c r="B26" s="163" t="s">
        <v>100</v>
      </c>
      <c r="C26" s="300"/>
      <c r="D26" s="251"/>
      <c r="E26" s="162"/>
      <c r="F26" s="383"/>
    </row>
    <row r="27" spans="1:21" s="309" customFormat="1" ht="15.75" customHeight="1" x14ac:dyDescent="0.25">
      <c r="A27" s="160"/>
      <c r="B27" s="251"/>
      <c r="C27" s="365" t="s">
        <v>322</v>
      </c>
      <c r="D27" s="166"/>
      <c r="E27" s="162"/>
      <c r="F27" s="255">
        <v>216300</v>
      </c>
      <c r="G27" s="288"/>
      <c r="H27" s="288"/>
      <c r="I27" s="288"/>
      <c r="J27" s="288"/>
    </row>
    <row r="28" spans="1:21" s="309" customFormat="1" ht="15.75" customHeight="1" x14ac:dyDescent="0.25">
      <c r="A28" s="160"/>
      <c r="B28" s="251"/>
      <c r="C28" s="365" t="s">
        <v>295</v>
      </c>
      <c r="D28" s="166"/>
      <c r="E28" s="162"/>
      <c r="F28" s="255">
        <v>133800</v>
      </c>
      <c r="G28" s="288"/>
      <c r="H28" s="288"/>
      <c r="I28" s="288"/>
      <c r="J28" s="288"/>
    </row>
    <row r="29" spans="1:21" s="309" customFormat="1" ht="15.75" hidden="1" customHeight="1" x14ac:dyDescent="0.25">
      <c r="A29" s="160"/>
      <c r="B29" s="251"/>
      <c r="C29" s="430" t="s">
        <v>258</v>
      </c>
      <c r="D29" s="166"/>
      <c r="E29" s="162"/>
      <c r="F29" s="255"/>
      <c r="G29" s="288"/>
      <c r="H29" s="288"/>
      <c r="I29" s="288"/>
      <c r="J29" s="288"/>
    </row>
    <row r="30" spans="1:21" s="309" customFormat="1" ht="15.75" customHeight="1" x14ac:dyDescent="0.25">
      <c r="A30" s="160"/>
      <c r="B30" s="251"/>
      <c r="C30" s="365" t="s">
        <v>259</v>
      </c>
      <c r="D30" s="166"/>
      <c r="E30" s="162"/>
      <c r="F30" s="255">
        <v>-78300</v>
      </c>
      <c r="G30" s="288"/>
      <c r="H30" s="288"/>
      <c r="I30" s="288"/>
      <c r="J30" s="288"/>
    </row>
    <row r="31" spans="1:21" s="309" customFormat="1" ht="15.75" customHeight="1" x14ac:dyDescent="0.25">
      <c r="A31" s="184"/>
      <c r="B31" s="183"/>
      <c r="C31" s="405"/>
      <c r="D31" s="304"/>
      <c r="E31" s="185"/>
      <c r="F31" s="406"/>
      <c r="G31" s="288"/>
      <c r="H31" s="288"/>
      <c r="I31" s="288"/>
      <c r="J31" s="288"/>
    </row>
    <row r="32" spans="1:21" s="320" customFormat="1" ht="15.75" customHeight="1" x14ac:dyDescent="0.25">
      <c r="A32" s="321"/>
      <c r="B32" s="322"/>
      <c r="C32" s="323"/>
      <c r="D32" s="324"/>
      <c r="E32" s="339"/>
      <c r="F32" s="248"/>
      <c r="K32" s="332"/>
    </row>
    <row r="33" spans="1:11" s="320" customFormat="1" ht="15.75" customHeight="1" x14ac:dyDescent="0.25">
      <c r="A33" s="321"/>
      <c r="B33" s="333" t="s">
        <v>211</v>
      </c>
      <c r="C33" s="333"/>
      <c r="D33" s="333"/>
      <c r="E33" s="334"/>
      <c r="F33" s="385">
        <f>SUM(F27:F30)</f>
        <v>271800</v>
      </c>
      <c r="K33" s="332"/>
    </row>
    <row r="34" spans="1:11" s="320" customFormat="1" ht="15.75" customHeight="1" x14ac:dyDescent="0.25">
      <c r="A34" s="321"/>
      <c r="B34" s="333"/>
      <c r="C34" s="322" t="s">
        <v>177</v>
      </c>
      <c r="D34" s="333"/>
      <c r="E34" s="334"/>
      <c r="F34" s="380">
        <f>+F33/G1</f>
        <v>1.001621462264151E-2</v>
      </c>
      <c r="K34" s="332"/>
    </row>
    <row r="35" spans="1:11" s="320" customFormat="1" ht="15.75" customHeight="1" x14ac:dyDescent="0.25">
      <c r="A35" s="335"/>
      <c r="B35" s="311"/>
      <c r="C35" s="311"/>
      <c r="D35" s="311"/>
      <c r="E35" s="314"/>
      <c r="F35" s="386"/>
      <c r="K35" s="332"/>
    </row>
    <row r="36" spans="1:11" s="320" customFormat="1" ht="15.75" customHeight="1" x14ac:dyDescent="0.25">
      <c r="A36" s="387"/>
      <c r="B36" s="338"/>
      <c r="C36" s="338"/>
      <c r="D36" s="338"/>
      <c r="E36" s="338"/>
      <c r="F36" s="388"/>
      <c r="K36" s="332"/>
    </row>
    <row r="37" spans="1:11" s="341" customFormat="1" ht="15.75" customHeight="1" x14ac:dyDescent="0.3">
      <c r="A37" s="273" t="s">
        <v>320</v>
      </c>
      <c r="B37" s="189"/>
      <c r="C37" s="189"/>
      <c r="D37" s="189"/>
      <c r="E37" s="189"/>
      <c r="F37" s="274">
        <f>+F22+F33</f>
        <v>2067700</v>
      </c>
      <c r="G37" s="299"/>
      <c r="H37" s="299"/>
      <c r="I37" s="299"/>
      <c r="J37" s="299"/>
    </row>
    <row r="38" spans="1:11" s="341" customFormat="1" ht="15.75" customHeight="1" x14ac:dyDescent="0.25">
      <c r="A38" s="273"/>
      <c r="B38" s="189"/>
      <c r="C38" s="216" t="s">
        <v>177</v>
      </c>
      <c r="D38" s="217"/>
      <c r="E38" s="217"/>
      <c r="F38" s="389">
        <f>+F37/G1</f>
        <v>7.6197670990566041E-2</v>
      </c>
      <c r="G38" s="299"/>
      <c r="H38" s="299"/>
      <c r="I38" s="299"/>
      <c r="J38" s="299"/>
    </row>
    <row r="39" spans="1:11" s="346" customFormat="1" ht="15.75" customHeight="1" x14ac:dyDescent="0.25">
      <c r="A39" s="343"/>
      <c r="B39" s="344"/>
      <c r="C39" s="344"/>
      <c r="D39" s="344"/>
      <c r="E39" s="344"/>
      <c r="F39" s="345"/>
      <c r="G39" s="288"/>
      <c r="H39" s="288"/>
      <c r="I39" s="288"/>
      <c r="J39" s="288"/>
    </row>
    <row r="40" spans="1:11" s="346" customFormat="1" ht="15.75" customHeight="1" x14ac:dyDescent="0.25">
      <c r="A40" s="347"/>
      <c r="B40" s="347"/>
      <c r="C40" s="347"/>
      <c r="D40" s="347"/>
      <c r="E40" s="347"/>
      <c r="G40" s="288"/>
      <c r="H40" s="288"/>
      <c r="I40" s="288"/>
      <c r="J40" s="288"/>
    </row>
    <row r="41" spans="1:11" s="346" customFormat="1" ht="18" customHeight="1" x14ac:dyDescent="0.3">
      <c r="A41" s="459"/>
      <c r="B41" s="459"/>
      <c r="C41" s="459"/>
      <c r="D41" s="459"/>
      <c r="E41" s="459"/>
      <c r="F41" s="370"/>
      <c r="G41" s="288"/>
      <c r="H41" s="288"/>
      <c r="I41" s="288"/>
      <c r="J41" s="288"/>
    </row>
    <row r="42" spans="1:11" s="346" customFormat="1" ht="18" customHeight="1" x14ac:dyDescent="0.25">
      <c r="A42" s="461"/>
      <c r="B42" s="461"/>
      <c r="C42" s="461"/>
      <c r="D42" s="461"/>
      <c r="E42" s="461"/>
      <c r="F42" s="349"/>
      <c r="G42" s="288"/>
      <c r="H42" s="288"/>
      <c r="I42" s="288"/>
      <c r="J42" s="288"/>
    </row>
    <row r="43" spans="1:11" s="346" customFormat="1" ht="18" customHeight="1" x14ac:dyDescent="0.25">
      <c r="A43" s="461"/>
      <c r="B43" s="461"/>
      <c r="C43" s="461"/>
      <c r="D43" s="461"/>
      <c r="E43" s="461"/>
      <c r="F43" s="349"/>
      <c r="G43" s="288"/>
      <c r="H43" s="288"/>
      <c r="I43" s="288"/>
      <c r="J43" s="288"/>
    </row>
    <row r="44" spans="1:11" ht="18" customHeight="1" x14ac:dyDescent="0.25">
      <c r="A44" s="462"/>
      <c r="B44" s="461"/>
      <c r="C44" s="461"/>
      <c r="D44" s="461"/>
      <c r="E44" s="461"/>
      <c r="F44" s="350"/>
    </row>
    <row r="45" spans="1:11" ht="18" customHeight="1" x14ac:dyDescent="0.25">
      <c r="A45" s="461"/>
      <c r="B45" s="461"/>
      <c r="C45" s="461"/>
      <c r="D45" s="461"/>
      <c r="E45" s="461"/>
      <c r="F45" s="350"/>
    </row>
  </sheetData>
  <sortState xmlns:xlrd2="http://schemas.microsoft.com/office/spreadsheetml/2017/richdata2" ref="C27:F30">
    <sortCondition descending="1" ref="F27:F30"/>
  </sortState>
  <mergeCells count="9">
    <mergeCell ref="A45:E45"/>
    <mergeCell ref="A3:E3"/>
    <mergeCell ref="A4:E4"/>
    <mergeCell ref="A5:E6"/>
    <mergeCell ref="F5:F6"/>
    <mergeCell ref="A41:E41"/>
    <mergeCell ref="A42:E42"/>
    <mergeCell ref="A43:E43"/>
    <mergeCell ref="A44:E44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AAD2-E7EC-4242-84A9-9C0ED3A1ED0F}">
  <sheetPr>
    <pageSetUpPr fitToPage="1"/>
  </sheetPr>
  <dimension ref="A1:U45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188</v>
      </c>
      <c r="B1" s="157"/>
      <c r="C1" s="157"/>
      <c r="D1" s="157"/>
      <c r="E1" s="157"/>
      <c r="F1" s="158" t="str">
        <f>+'USHE-GOV'!N1</f>
        <v>December 6, 2024</v>
      </c>
      <c r="G1" s="404">
        <v>13032600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442700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310500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132200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SUM(F13:F15)</f>
        <v>1249400</v>
      </c>
    </row>
    <row r="13" spans="1:21" ht="15.75" customHeight="1" x14ac:dyDescent="0.25">
      <c r="A13" s="171"/>
      <c r="B13" s="300"/>
      <c r="C13" s="164"/>
      <c r="D13" s="365" t="s">
        <v>140</v>
      </c>
      <c r="E13" s="162"/>
      <c r="F13" s="255">
        <v>969000</v>
      </c>
    </row>
    <row r="14" spans="1:21" ht="15.75" customHeight="1" x14ac:dyDescent="0.25">
      <c r="A14" s="171"/>
      <c r="B14" s="300"/>
      <c r="C14" s="164"/>
      <c r="D14" s="365" t="s">
        <v>258</v>
      </c>
      <c r="E14" s="162"/>
      <c r="F14" s="255">
        <v>255800</v>
      </c>
    </row>
    <row r="15" spans="1:21" ht="15.75" customHeight="1" x14ac:dyDescent="0.25">
      <c r="A15" s="171"/>
      <c r="B15" s="300"/>
      <c r="C15" s="164"/>
      <c r="D15" s="365" t="s">
        <v>153</v>
      </c>
      <c r="E15" s="162"/>
      <c r="F15" s="255">
        <v>24600</v>
      </c>
    </row>
    <row r="16" spans="1:21" s="288" customFormat="1" ht="15.75" customHeight="1" x14ac:dyDescent="0.25">
      <c r="A16" s="171"/>
      <c r="B16" s="300"/>
      <c r="C16" s="164" t="s">
        <v>48</v>
      </c>
      <c r="D16" s="365"/>
      <c r="E16" s="162"/>
      <c r="F16" s="262">
        <f>SUM(F17:H18)</f>
        <v>-64500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295</v>
      </c>
      <c r="E17" s="162"/>
      <c r="F17" s="255">
        <v>-64500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D18" s="430" t="s">
        <v>254</v>
      </c>
      <c r="E18" s="162"/>
      <c r="F18" s="255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82"/>
      <c r="B19" s="303"/>
      <c r="C19" s="304"/>
      <c r="D19" s="183"/>
      <c r="E19" s="185"/>
      <c r="F19" s="377"/>
      <c r="K19" s="289"/>
    </row>
    <row r="20" spans="1:21" s="288" customFormat="1" ht="15.75" customHeight="1" x14ac:dyDescent="0.25">
      <c r="A20" s="178"/>
      <c r="B20" s="179"/>
      <c r="C20" s="179"/>
      <c r="D20" s="180"/>
      <c r="E20" s="181"/>
      <c r="F20" s="378"/>
      <c r="K20" s="289"/>
    </row>
    <row r="21" spans="1:21" s="288" customFormat="1" ht="15.75" customHeight="1" x14ac:dyDescent="0.25">
      <c r="A21" s="171"/>
      <c r="B21" s="170" t="s">
        <v>321</v>
      </c>
      <c r="C21" s="170"/>
      <c r="D21" s="170"/>
      <c r="E21" s="172"/>
      <c r="F21" s="379">
        <f>+F12+F16+F9</f>
        <v>1627600</v>
      </c>
      <c r="K21" s="289"/>
    </row>
    <row r="22" spans="1:21" ht="15.75" customHeight="1" x14ac:dyDescent="0.25">
      <c r="A22" s="171"/>
      <c r="B22" s="170"/>
      <c r="C22" s="251" t="s">
        <v>177</v>
      </c>
      <c r="D22" s="170"/>
      <c r="E22" s="172"/>
      <c r="F22" s="380">
        <f>+F21/$G$1</f>
        <v>0.12488682227644522</v>
      </c>
    </row>
    <row r="23" spans="1:21" s="320" customFormat="1" ht="15.75" customHeight="1" x14ac:dyDescent="0.25">
      <c r="A23" s="310"/>
      <c r="B23" s="311"/>
      <c r="C23" s="312"/>
      <c r="D23" s="313"/>
      <c r="E23" s="314"/>
      <c r="F23" s="384"/>
    </row>
    <row r="24" spans="1:21" s="320" customFormat="1" ht="15.75" customHeight="1" x14ac:dyDescent="0.25">
      <c r="A24" s="387"/>
      <c r="B24" s="338"/>
      <c r="C24" s="407"/>
      <c r="D24" s="390"/>
      <c r="E24" s="339"/>
      <c r="F24" s="248"/>
      <c r="K24" s="332"/>
    </row>
    <row r="25" spans="1:21" ht="15.75" customHeight="1" x14ac:dyDescent="0.25">
      <c r="A25" s="171"/>
      <c r="B25" s="163" t="s">
        <v>100</v>
      </c>
      <c r="C25" s="300"/>
      <c r="D25" s="251"/>
      <c r="E25" s="162"/>
      <c r="F25" s="383"/>
    </row>
    <row r="26" spans="1:21" s="309" customFormat="1" ht="15.75" customHeight="1" x14ac:dyDescent="0.25">
      <c r="A26" s="160"/>
      <c r="B26" s="251"/>
      <c r="C26" s="365" t="s">
        <v>292</v>
      </c>
      <c r="D26" s="166"/>
      <c r="E26" s="162"/>
      <c r="F26" s="255">
        <v>170000</v>
      </c>
      <c r="G26" s="288"/>
      <c r="H26" s="288"/>
      <c r="I26" s="288"/>
      <c r="J26" s="288"/>
    </row>
    <row r="27" spans="1:21" s="309" customFormat="1" ht="15.75" customHeight="1" x14ac:dyDescent="0.25">
      <c r="A27" s="160"/>
      <c r="B27" s="251"/>
      <c r="C27" s="365" t="s">
        <v>295</v>
      </c>
      <c r="D27" s="166"/>
      <c r="E27" s="162"/>
      <c r="F27" s="255">
        <v>64500</v>
      </c>
      <c r="G27" s="288"/>
      <c r="H27" s="288"/>
      <c r="I27" s="288"/>
      <c r="J27" s="288"/>
    </row>
    <row r="28" spans="1:21" s="309" customFormat="1" ht="15.75" customHeight="1" x14ac:dyDescent="0.25">
      <c r="A28" s="160"/>
      <c r="B28" s="251"/>
      <c r="C28" s="365" t="s">
        <v>322</v>
      </c>
      <c r="D28" s="166"/>
      <c r="E28" s="162"/>
      <c r="F28" s="255">
        <v>23300</v>
      </c>
      <c r="G28" s="288"/>
      <c r="H28" s="288"/>
      <c r="I28" s="288"/>
      <c r="J28" s="288"/>
    </row>
    <row r="29" spans="1:21" s="309" customFormat="1" ht="15.75" hidden="1" customHeight="1" x14ac:dyDescent="0.25">
      <c r="A29" s="160"/>
      <c r="B29" s="251"/>
      <c r="C29" s="430" t="s">
        <v>258</v>
      </c>
      <c r="D29" s="166"/>
      <c r="E29" s="162"/>
      <c r="F29" s="255"/>
      <c r="G29" s="288"/>
      <c r="H29" s="288"/>
      <c r="I29" s="288"/>
      <c r="J29" s="288"/>
    </row>
    <row r="30" spans="1:21" s="309" customFormat="1" ht="15.75" hidden="1" customHeight="1" x14ac:dyDescent="0.25">
      <c r="A30" s="160"/>
      <c r="B30" s="251"/>
      <c r="C30" s="430" t="s">
        <v>153</v>
      </c>
      <c r="D30" s="166"/>
      <c r="E30" s="162"/>
      <c r="F30" s="255"/>
      <c r="G30" s="288"/>
      <c r="H30" s="288"/>
      <c r="I30" s="288"/>
      <c r="J30" s="288"/>
    </row>
    <row r="31" spans="1:21" s="400" customFormat="1" ht="15.75" customHeight="1" x14ac:dyDescent="0.25">
      <c r="A31" s="440"/>
      <c r="B31" s="265"/>
      <c r="C31" s="441"/>
      <c r="D31" s="442"/>
      <c r="E31" s="381"/>
      <c r="F31" s="443"/>
      <c r="G31" s="363"/>
      <c r="H31" s="363"/>
      <c r="I31" s="363"/>
      <c r="J31" s="363"/>
    </row>
    <row r="32" spans="1:21" s="320" customFormat="1" ht="15.75" customHeight="1" x14ac:dyDescent="0.25">
      <c r="A32" s="321"/>
      <c r="B32" s="322"/>
      <c r="C32" s="323"/>
      <c r="D32" s="324"/>
      <c r="E32" s="339"/>
      <c r="F32" s="248"/>
      <c r="K32" s="332"/>
    </row>
    <row r="33" spans="1:11" s="320" customFormat="1" ht="15.75" customHeight="1" x14ac:dyDescent="0.25">
      <c r="A33" s="321"/>
      <c r="B33" s="333" t="s">
        <v>211</v>
      </c>
      <c r="C33" s="333"/>
      <c r="D33" s="333"/>
      <c r="E33" s="334"/>
      <c r="F33" s="385">
        <f>SUM(F26:F30)</f>
        <v>257800</v>
      </c>
      <c r="K33" s="332"/>
    </row>
    <row r="34" spans="1:11" s="320" customFormat="1" ht="15.75" customHeight="1" x14ac:dyDescent="0.25">
      <c r="A34" s="321"/>
      <c r="B34" s="333"/>
      <c r="C34" s="322" t="s">
        <v>177</v>
      </c>
      <c r="D34" s="333"/>
      <c r="E34" s="334"/>
      <c r="F34" s="380">
        <f>+F33/G1</f>
        <v>1.9781164157574083E-2</v>
      </c>
      <c r="K34" s="332"/>
    </row>
    <row r="35" spans="1:11" s="320" customFormat="1" ht="15.75" customHeight="1" x14ac:dyDescent="0.25">
      <c r="A35" s="335"/>
      <c r="B35" s="311"/>
      <c r="C35" s="311"/>
      <c r="D35" s="311"/>
      <c r="E35" s="314"/>
      <c r="F35" s="386"/>
      <c r="K35" s="332"/>
    </row>
    <row r="36" spans="1:11" s="320" customFormat="1" ht="15.75" customHeight="1" x14ac:dyDescent="0.25">
      <c r="A36" s="387"/>
      <c r="B36" s="338"/>
      <c r="C36" s="338"/>
      <c r="D36" s="338"/>
      <c r="E36" s="338"/>
      <c r="F36" s="388"/>
      <c r="K36" s="332"/>
    </row>
    <row r="37" spans="1:11" s="341" customFormat="1" ht="15.75" customHeight="1" x14ac:dyDescent="0.3">
      <c r="A37" s="273" t="s">
        <v>320</v>
      </c>
      <c r="B37" s="189"/>
      <c r="C37" s="189"/>
      <c r="D37" s="189"/>
      <c r="E37" s="189"/>
      <c r="F37" s="434">
        <f>+F21+F33</f>
        <v>1885400</v>
      </c>
      <c r="G37" s="299"/>
      <c r="H37" s="299"/>
      <c r="I37" s="299"/>
      <c r="J37" s="299"/>
    </row>
    <row r="38" spans="1:11" s="341" customFormat="1" ht="15.75" customHeight="1" x14ac:dyDescent="0.25">
      <c r="A38" s="273"/>
      <c r="B38" s="189"/>
      <c r="C38" s="216" t="s">
        <v>177</v>
      </c>
      <c r="D38" s="217"/>
      <c r="E38" s="217"/>
      <c r="F38" s="389">
        <f>+F37/G1</f>
        <v>0.14466798643401932</v>
      </c>
      <c r="G38" s="299"/>
      <c r="H38" s="299"/>
      <c r="I38" s="299"/>
      <c r="J38" s="299"/>
    </row>
    <row r="39" spans="1:11" s="346" customFormat="1" ht="15.75" customHeight="1" x14ac:dyDescent="0.25">
      <c r="A39" s="343"/>
      <c r="B39" s="344"/>
      <c r="C39" s="344"/>
      <c r="D39" s="344"/>
      <c r="E39" s="344"/>
      <c r="F39" s="345"/>
      <c r="G39" s="288"/>
      <c r="H39" s="288"/>
      <c r="I39" s="288"/>
      <c r="J39" s="288"/>
    </row>
    <row r="40" spans="1:11" s="346" customFormat="1" ht="15.75" customHeight="1" x14ac:dyDescent="0.25">
      <c r="A40" s="347"/>
      <c r="B40" s="347"/>
      <c r="C40" s="347"/>
      <c r="D40" s="347"/>
      <c r="E40" s="347"/>
      <c r="G40" s="288"/>
      <c r="H40" s="288"/>
      <c r="I40" s="288"/>
      <c r="J40" s="288"/>
    </row>
    <row r="41" spans="1:11" s="346" customFormat="1" ht="18" customHeight="1" x14ac:dyDescent="0.3">
      <c r="A41" s="459"/>
      <c r="B41" s="459"/>
      <c r="C41" s="459"/>
      <c r="D41" s="459"/>
      <c r="E41" s="459"/>
      <c r="F41" s="370"/>
      <c r="G41" s="288"/>
      <c r="H41" s="288"/>
      <c r="I41" s="288"/>
      <c r="J41" s="288"/>
    </row>
    <row r="42" spans="1:11" s="346" customFormat="1" ht="18" customHeight="1" x14ac:dyDescent="0.25">
      <c r="A42" s="461"/>
      <c r="B42" s="461"/>
      <c r="C42" s="461"/>
      <c r="D42" s="461"/>
      <c r="E42" s="461"/>
      <c r="F42" s="349"/>
      <c r="G42" s="288"/>
      <c r="H42" s="288"/>
      <c r="I42" s="288"/>
      <c r="J42" s="288"/>
    </row>
    <row r="43" spans="1:11" s="346" customFormat="1" ht="18" customHeight="1" x14ac:dyDescent="0.25">
      <c r="A43" s="461"/>
      <c r="B43" s="461"/>
      <c r="C43" s="461"/>
      <c r="D43" s="461"/>
      <c r="E43" s="461"/>
      <c r="F43" s="349"/>
      <c r="G43" s="288"/>
      <c r="H43" s="288"/>
      <c r="I43" s="288"/>
      <c r="J43" s="288"/>
    </row>
    <row r="44" spans="1:11" ht="18" customHeight="1" x14ac:dyDescent="0.25">
      <c r="A44" s="462"/>
      <c r="B44" s="461"/>
      <c r="C44" s="461"/>
      <c r="D44" s="461"/>
      <c r="E44" s="461"/>
      <c r="F44" s="350"/>
    </row>
    <row r="45" spans="1:11" ht="18" customHeight="1" x14ac:dyDescent="0.25">
      <c r="A45" s="461"/>
      <c r="B45" s="461"/>
      <c r="C45" s="461"/>
      <c r="D45" s="461"/>
      <c r="E45" s="461"/>
      <c r="F45" s="350"/>
    </row>
  </sheetData>
  <sortState xmlns:xlrd2="http://schemas.microsoft.com/office/spreadsheetml/2017/richdata2" ref="C26:F28">
    <sortCondition descending="1" ref="F26:F28"/>
  </sortState>
  <mergeCells count="9">
    <mergeCell ref="A45:E45"/>
    <mergeCell ref="A3:E3"/>
    <mergeCell ref="A4:E4"/>
    <mergeCell ref="A5:E6"/>
    <mergeCell ref="F5:F6"/>
    <mergeCell ref="A41:E41"/>
    <mergeCell ref="A42:E42"/>
    <mergeCell ref="A43:E43"/>
    <mergeCell ref="A44:E44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F406-752C-4CED-8618-895C8C8A29B4}">
  <sheetPr>
    <pageSetUpPr fitToPage="1"/>
  </sheetPr>
  <dimension ref="A1:U44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189</v>
      </c>
      <c r="B1" s="157"/>
      <c r="C1" s="157"/>
      <c r="D1" s="157"/>
      <c r="E1" s="157"/>
      <c r="F1" s="158" t="str">
        <f>+'USHE-GOV'!N1</f>
        <v>December 6, 2024</v>
      </c>
      <c r="G1" s="404">
        <v>29243100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941500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615600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325900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SUM(F13:F15)</f>
        <v>3147700</v>
      </c>
    </row>
    <row r="13" spans="1:21" ht="15.75" customHeight="1" x14ac:dyDescent="0.25">
      <c r="A13" s="171"/>
      <c r="B13" s="300"/>
      <c r="C13" s="164"/>
      <c r="D13" s="365" t="s">
        <v>140</v>
      </c>
      <c r="E13" s="162"/>
      <c r="F13" s="255">
        <v>2882000</v>
      </c>
    </row>
    <row r="14" spans="1:21" ht="15.75" customHeight="1" x14ac:dyDescent="0.25">
      <c r="A14" s="171"/>
      <c r="B14" s="300"/>
      <c r="C14" s="164"/>
      <c r="D14" s="365" t="s">
        <v>258</v>
      </c>
      <c r="E14" s="162"/>
      <c r="F14" s="255">
        <v>198100</v>
      </c>
    </row>
    <row r="15" spans="1:21" ht="15.75" customHeight="1" x14ac:dyDescent="0.25">
      <c r="A15" s="171"/>
      <c r="B15" s="300"/>
      <c r="C15" s="164"/>
      <c r="D15" s="365" t="s">
        <v>153</v>
      </c>
      <c r="E15" s="162"/>
      <c r="F15" s="255">
        <v>67600</v>
      </c>
    </row>
    <row r="16" spans="1:21" s="288" customFormat="1" ht="15.75" customHeight="1" x14ac:dyDescent="0.25">
      <c r="A16" s="171"/>
      <c r="B16" s="300"/>
      <c r="C16" s="164" t="s">
        <v>48</v>
      </c>
      <c r="D16" s="365"/>
      <c r="E16" s="162"/>
      <c r="F16" s="262">
        <f>SUM(F17:H19)</f>
        <v>-145000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295</v>
      </c>
      <c r="E17" s="162"/>
      <c r="F17" s="255">
        <v>-145000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D18" s="430" t="s">
        <v>255</v>
      </c>
      <c r="E18" s="162"/>
      <c r="F18" s="255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hidden="1" customHeight="1" x14ac:dyDescent="0.25">
      <c r="A19" s="171"/>
      <c r="B19" s="300"/>
      <c r="C19" s="164"/>
      <c r="D19" s="430" t="s">
        <v>254</v>
      </c>
      <c r="E19" s="162"/>
      <c r="F19" s="255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82"/>
      <c r="B20" s="303"/>
      <c r="C20" s="304"/>
      <c r="D20" s="183"/>
      <c r="E20" s="185"/>
      <c r="F20" s="377"/>
      <c r="K20" s="289"/>
    </row>
    <row r="21" spans="1:21" s="288" customFormat="1" ht="15.75" customHeight="1" x14ac:dyDescent="0.25">
      <c r="A21" s="178"/>
      <c r="B21" s="179"/>
      <c r="C21" s="179"/>
      <c r="D21" s="180"/>
      <c r="E21" s="181"/>
      <c r="F21" s="378"/>
      <c r="K21" s="289"/>
    </row>
    <row r="22" spans="1:21" s="288" customFormat="1" ht="15.75" customHeight="1" x14ac:dyDescent="0.25">
      <c r="A22" s="171"/>
      <c r="B22" s="170" t="s">
        <v>321</v>
      </c>
      <c r="C22" s="170"/>
      <c r="D22" s="170"/>
      <c r="E22" s="172"/>
      <c r="F22" s="379">
        <f>+F12+F16+F9</f>
        <v>3944200</v>
      </c>
      <c r="K22" s="289"/>
    </row>
    <row r="23" spans="1:21" ht="15.75" customHeight="1" x14ac:dyDescent="0.25">
      <c r="A23" s="171"/>
      <c r="B23" s="170"/>
      <c r="C23" s="251" t="s">
        <v>177</v>
      </c>
      <c r="D23" s="170"/>
      <c r="E23" s="172"/>
      <c r="F23" s="380">
        <f>+F22/$G$1</f>
        <v>0.13487626140867418</v>
      </c>
    </row>
    <row r="24" spans="1:21" s="320" customFormat="1" ht="15.75" customHeight="1" x14ac:dyDescent="0.25">
      <c r="A24" s="310"/>
      <c r="B24" s="311"/>
      <c r="C24" s="312"/>
      <c r="D24" s="313"/>
      <c r="E24" s="314"/>
      <c r="F24" s="384"/>
    </row>
    <row r="25" spans="1:21" s="320" customFormat="1" ht="15.75" customHeight="1" x14ac:dyDescent="0.25">
      <c r="A25" s="387"/>
      <c r="B25" s="338"/>
      <c r="C25" s="407"/>
      <c r="D25" s="390"/>
      <c r="E25" s="339"/>
      <c r="F25" s="248"/>
      <c r="K25" s="332"/>
    </row>
    <row r="26" spans="1:21" ht="15.75" customHeight="1" x14ac:dyDescent="0.25">
      <c r="A26" s="171"/>
      <c r="B26" s="163" t="s">
        <v>100</v>
      </c>
      <c r="C26" s="300"/>
      <c r="D26" s="251"/>
      <c r="E26" s="162"/>
      <c r="F26" s="383"/>
    </row>
    <row r="27" spans="1:21" s="309" customFormat="1" ht="15.75" customHeight="1" x14ac:dyDescent="0.25">
      <c r="A27" s="160"/>
      <c r="B27" s="251"/>
      <c r="C27" s="365" t="s">
        <v>295</v>
      </c>
      <c r="D27" s="166"/>
      <c r="E27" s="162"/>
      <c r="F27" s="255">
        <v>145000</v>
      </c>
      <c r="G27" s="288"/>
      <c r="H27" s="288"/>
      <c r="I27" s="288"/>
      <c r="J27" s="288"/>
    </row>
    <row r="28" spans="1:21" s="309" customFormat="1" ht="15.75" hidden="1" customHeight="1" x14ac:dyDescent="0.25">
      <c r="A28" s="160"/>
      <c r="B28" s="251"/>
      <c r="C28" s="430" t="s">
        <v>258</v>
      </c>
      <c r="D28" s="166"/>
      <c r="E28" s="162"/>
      <c r="F28" s="255"/>
      <c r="G28" s="288"/>
      <c r="H28" s="288"/>
      <c r="I28" s="288"/>
      <c r="J28" s="288"/>
    </row>
    <row r="29" spans="1:21" s="309" customFormat="1" ht="15.75" customHeight="1" x14ac:dyDescent="0.25">
      <c r="A29" s="160"/>
      <c r="B29" s="251"/>
      <c r="C29" s="365" t="s">
        <v>259</v>
      </c>
      <c r="D29" s="166"/>
      <c r="E29" s="162"/>
      <c r="F29" s="255">
        <f>-665600-848200</f>
        <v>-1513800</v>
      </c>
      <c r="G29" s="288"/>
      <c r="H29" s="288"/>
      <c r="I29" s="288"/>
      <c r="J29" s="288"/>
    </row>
    <row r="30" spans="1:21" s="309" customFormat="1" ht="15.75" customHeight="1" x14ac:dyDescent="0.25">
      <c r="A30" s="184"/>
      <c r="B30" s="183"/>
      <c r="C30" s="405"/>
      <c r="D30" s="304"/>
      <c r="E30" s="185"/>
      <c r="F30" s="406"/>
      <c r="G30" s="288"/>
      <c r="H30" s="288"/>
      <c r="I30" s="288"/>
      <c r="J30" s="288"/>
    </row>
    <row r="31" spans="1:21" s="320" customFormat="1" ht="15.75" customHeight="1" x14ac:dyDescent="0.25">
      <c r="A31" s="321"/>
      <c r="B31" s="322"/>
      <c r="C31" s="323"/>
      <c r="D31" s="324"/>
      <c r="E31" s="339"/>
      <c r="F31" s="248"/>
      <c r="K31" s="332"/>
    </row>
    <row r="32" spans="1:21" s="320" customFormat="1" ht="15.75" customHeight="1" x14ac:dyDescent="0.25">
      <c r="A32" s="321"/>
      <c r="B32" s="333" t="s">
        <v>211</v>
      </c>
      <c r="C32" s="333"/>
      <c r="D32" s="333"/>
      <c r="E32" s="334"/>
      <c r="F32" s="385">
        <f>SUM(F27:F29)</f>
        <v>-1368800</v>
      </c>
      <c r="K32" s="332"/>
    </row>
    <row r="33" spans="1:11" s="320" customFormat="1" ht="15.75" customHeight="1" x14ac:dyDescent="0.25">
      <c r="A33" s="321"/>
      <c r="B33" s="333"/>
      <c r="C33" s="322" t="s">
        <v>177</v>
      </c>
      <c r="D33" s="333"/>
      <c r="E33" s="334"/>
      <c r="F33" s="380">
        <f>+F32/G1</f>
        <v>-4.6807622994826131E-2</v>
      </c>
      <c r="K33" s="332"/>
    </row>
    <row r="34" spans="1:11" s="320" customFormat="1" ht="15.75" customHeight="1" x14ac:dyDescent="0.25">
      <c r="A34" s="335"/>
      <c r="B34" s="311"/>
      <c r="C34" s="311"/>
      <c r="D34" s="311"/>
      <c r="E34" s="314"/>
      <c r="F34" s="386"/>
      <c r="K34" s="332"/>
    </row>
    <row r="35" spans="1:11" s="320" customFormat="1" ht="15.75" customHeight="1" x14ac:dyDescent="0.25">
      <c r="A35" s="387"/>
      <c r="B35" s="338"/>
      <c r="C35" s="338"/>
      <c r="D35" s="338"/>
      <c r="E35" s="338"/>
      <c r="F35" s="388"/>
      <c r="K35" s="332"/>
    </row>
    <row r="36" spans="1:11" s="341" customFormat="1" ht="15.75" customHeight="1" x14ac:dyDescent="0.3">
      <c r="A36" s="273" t="s">
        <v>320</v>
      </c>
      <c r="B36" s="189"/>
      <c r="C36" s="189"/>
      <c r="D36" s="189"/>
      <c r="E36" s="189"/>
      <c r="F36" s="434">
        <f>+F22+F32</f>
        <v>2575400</v>
      </c>
      <c r="G36" s="299"/>
      <c r="H36" s="299"/>
      <c r="I36" s="299"/>
      <c r="J36" s="299"/>
    </row>
    <row r="37" spans="1:11" s="341" customFormat="1" ht="15.75" customHeight="1" x14ac:dyDescent="0.25">
      <c r="A37" s="273"/>
      <c r="B37" s="189"/>
      <c r="C37" s="216" t="s">
        <v>177</v>
      </c>
      <c r="D37" s="217"/>
      <c r="E37" s="217"/>
      <c r="F37" s="389">
        <f>+F36/G1</f>
        <v>8.8068638413848058E-2</v>
      </c>
      <c r="G37" s="299"/>
      <c r="H37" s="299"/>
      <c r="I37" s="299"/>
      <c r="J37" s="299"/>
    </row>
    <row r="38" spans="1:11" s="346" customFormat="1" ht="15.75" customHeight="1" x14ac:dyDescent="0.25">
      <c r="A38" s="343"/>
      <c r="B38" s="344"/>
      <c r="C38" s="344"/>
      <c r="D38" s="344"/>
      <c r="E38" s="344"/>
      <c r="F38" s="345"/>
      <c r="G38" s="288"/>
      <c r="H38" s="288"/>
      <c r="I38" s="288"/>
      <c r="J38" s="288"/>
    </row>
    <row r="39" spans="1:11" s="346" customFormat="1" ht="15.75" customHeight="1" x14ac:dyDescent="0.25">
      <c r="A39" s="347"/>
      <c r="B39" s="347"/>
      <c r="C39" s="347"/>
      <c r="D39" s="347"/>
      <c r="E39" s="347"/>
      <c r="G39" s="288"/>
      <c r="H39" s="288"/>
      <c r="I39" s="288"/>
      <c r="J39" s="288"/>
    </row>
    <row r="40" spans="1:11" s="346" customFormat="1" ht="18" customHeight="1" x14ac:dyDescent="0.3">
      <c r="A40" s="459"/>
      <c r="B40" s="459"/>
      <c r="C40" s="459"/>
      <c r="D40" s="459"/>
      <c r="E40" s="459"/>
      <c r="F40" s="370"/>
      <c r="G40" s="288"/>
      <c r="H40" s="288"/>
      <c r="I40" s="288"/>
      <c r="J40" s="288"/>
    </row>
    <row r="41" spans="1:11" s="346" customFormat="1" ht="18" customHeight="1" x14ac:dyDescent="0.25">
      <c r="A41" s="461"/>
      <c r="B41" s="461"/>
      <c r="C41" s="461"/>
      <c r="D41" s="461"/>
      <c r="E41" s="461"/>
      <c r="F41" s="349"/>
      <c r="G41" s="288"/>
      <c r="H41" s="288"/>
      <c r="I41" s="288"/>
      <c r="J41" s="288"/>
    </row>
    <row r="42" spans="1:11" s="346" customFormat="1" ht="18" customHeight="1" x14ac:dyDescent="0.25">
      <c r="A42" s="461"/>
      <c r="B42" s="461"/>
      <c r="C42" s="461"/>
      <c r="D42" s="461"/>
      <c r="E42" s="461"/>
      <c r="F42" s="349"/>
      <c r="G42" s="288"/>
      <c r="H42" s="288"/>
      <c r="I42" s="288"/>
      <c r="J42" s="288"/>
    </row>
    <row r="43" spans="1:11" ht="18" customHeight="1" x14ac:dyDescent="0.25">
      <c r="A43" s="462"/>
      <c r="B43" s="461"/>
      <c r="C43" s="461"/>
      <c r="D43" s="461"/>
      <c r="E43" s="461"/>
      <c r="F43" s="350"/>
    </row>
    <row r="44" spans="1:11" ht="18" customHeight="1" x14ac:dyDescent="0.25">
      <c r="A44" s="461"/>
      <c r="B44" s="461"/>
      <c r="C44" s="461"/>
      <c r="D44" s="461"/>
      <c r="E44" s="461"/>
      <c r="F44" s="350"/>
    </row>
  </sheetData>
  <sortState xmlns:xlrd2="http://schemas.microsoft.com/office/spreadsheetml/2017/richdata2" ref="C27:F29">
    <sortCondition descending="1" ref="F27:F29"/>
  </sortState>
  <mergeCells count="9">
    <mergeCell ref="A44:E44"/>
    <mergeCell ref="A3:E3"/>
    <mergeCell ref="A4:E4"/>
    <mergeCell ref="A5:E6"/>
    <mergeCell ref="F5:F6"/>
    <mergeCell ref="A40:E40"/>
    <mergeCell ref="A41:E41"/>
    <mergeCell ref="A42:E42"/>
    <mergeCell ref="A43:E43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027F8-CDEA-45CD-84B7-010E1987BF9F}">
  <sheetPr>
    <pageSetUpPr fitToPage="1"/>
  </sheetPr>
  <dimension ref="A1:U43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190</v>
      </c>
      <c r="B1" s="157"/>
      <c r="C1" s="157"/>
      <c r="D1" s="157"/>
      <c r="E1" s="157"/>
      <c r="F1" s="158" t="str">
        <f>+'USHE-GOV'!N1</f>
        <v>December 6, 2024</v>
      </c>
      <c r="G1" s="404">
        <v>24149500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588200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458100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130100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SUM(F13:F15)</f>
        <v>1513600</v>
      </c>
    </row>
    <row r="13" spans="1:21" ht="15.75" customHeight="1" x14ac:dyDescent="0.25">
      <c r="A13" s="171"/>
      <c r="B13" s="300"/>
      <c r="C13" s="164"/>
      <c r="D13" s="365" t="s">
        <v>140</v>
      </c>
      <c r="E13" s="162"/>
      <c r="F13" s="255">
        <v>988000</v>
      </c>
    </row>
    <row r="14" spans="1:21" ht="15.75" customHeight="1" x14ac:dyDescent="0.25">
      <c r="A14" s="171"/>
      <c r="B14" s="300"/>
      <c r="C14" s="164"/>
      <c r="D14" s="365" t="s">
        <v>258</v>
      </c>
      <c r="E14" s="162"/>
      <c r="F14" s="255">
        <v>402100</v>
      </c>
    </row>
    <row r="15" spans="1:21" ht="15.75" customHeight="1" x14ac:dyDescent="0.25">
      <c r="A15" s="171"/>
      <c r="B15" s="300"/>
      <c r="C15" s="164"/>
      <c r="D15" s="365" t="s">
        <v>153</v>
      </c>
      <c r="E15" s="162"/>
      <c r="F15" s="255">
        <v>123500</v>
      </c>
    </row>
    <row r="16" spans="1:21" s="288" customFormat="1" ht="15.75" customHeight="1" x14ac:dyDescent="0.25">
      <c r="A16" s="171"/>
      <c r="B16" s="300"/>
      <c r="C16" s="164" t="s">
        <v>48</v>
      </c>
      <c r="D16" s="365"/>
      <c r="E16" s="162"/>
      <c r="F16" s="262">
        <f>SUM(F17:F18)</f>
        <v>510800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295</v>
      </c>
      <c r="E17" s="162"/>
      <c r="F17" s="255">
        <v>-119300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71"/>
      <c r="B18" s="300"/>
      <c r="C18" s="164"/>
      <c r="D18" s="365" t="s">
        <v>296</v>
      </c>
      <c r="E18" s="162"/>
      <c r="F18" s="255">
        <v>630100</v>
      </c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82"/>
      <c r="B19" s="303"/>
      <c r="C19" s="304"/>
      <c r="D19" s="183"/>
      <c r="E19" s="185"/>
      <c r="F19" s="377"/>
      <c r="K19" s="289"/>
    </row>
    <row r="20" spans="1:21" s="288" customFormat="1" ht="15.75" customHeight="1" x14ac:dyDescent="0.25">
      <c r="A20" s="178"/>
      <c r="B20" s="179"/>
      <c r="C20" s="179"/>
      <c r="D20" s="180"/>
      <c r="E20" s="181"/>
      <c r="F20" s="378"/>
      <c r="K20" s="289"/>
    </row>
    <row r="21" spans="1:21" s="288" customFormat="1" ht="15.75" customHeight="1" x14ac:dyDescent="0.25">
      <c r="A21" s="171"/>
      <c r="B21" s="170" t="s">
        <v>321</v>
      </c>
      <c r="C21" s="170"/>
      <c r="D21" s="170"/>
      <c r="E21" s="172"/>
      <c r="F21" s="379">
        <f>+F12+F16+F9</f>
        <v>2612600</v>
      </c>
      <c r="K21" s="289"/>
    </row>
    <row r="22" spans="1:21" ht="15.75" customHeight="1" x14ac:dyDescent="0.25">
      <c r="A22" s="171"/>
      <c r="B22" s="170"/>
      <c r="C22" s="251" t="s">
        <v>177</v>
      </c>
      <c r="D22" s="170"/>
      <c r="E22" s="172"/>
      <c r="F22" s="380">
        <f>+F21/$G$1</f>
        <v>0.10818443446034079</v>
      </c>
    </row>
    <row r="23" spans="1:21" s="320" customFormat="1" ht="15.75" customHeight="1" x14ac:dyDescent="0.25">
      <c r="A23" s="310"/>
      <c r="B23" s="311"/>
      <c r="C23" s="312"/>
      <c r="D23" s="313"/>
      <c r="E23" s="314"/>
      <c r="F23" s="384"/>
    </row>
    <row r="24" spans="1:21" s="320" customFormat="1" ht="15.75" customHeight="1" x14ac:dyDescent="0.25">
      <c r="A24" s="387"/>
      <c r="B24" s="338"/>
      <c r="C24" s="407"/>
      <c r="D24" s="390"/>
      <c r="E24" s="339"/>
      <c r="F24" s="248"/>
      <c r="K24" s="332"/>
    </row>
    <row r="25" spans="1:21" ht="15.75" customHeight="1" x14ac:dyDescent="0.25">
      <c r="A25" s="171"/>
      <c r="B25" s="163" t="s">
        <v>100</v>
      </c>
      <c r="C25" s="300"/>
      <c r="D25" s="251"/>
      <c r="E25" s="162"/>
      <c r="F25" s="383"/>
    </row>
    <row r="26" spans="1:21" s="309" customFormat="1" ht="15.75" customHeight="1" x14ac:dyDescent="0.25">
      <c r="A26" s="160"/>
      <c r="B26" s="251"/>
      <c r="C26" s="365" t="s">
        <v>295</v>
      </c>
      <c r="D26" s="166"/>
      <c r="E26" s="162"/>
      <c r="F26" s="255">
        <v>119300</v>
      </c>
      <c r="G26" s="288"/>
      <c r="H26" s="288"/>
      <c r="I26" s="288"/>
      <c r="J26" s="288"/>
    </row>
    <row r="27" spans="1:21" s="309" customFormat="1" ht="15.75" hidden="1" customHeight="1" x14ac:dyDescent="0.25">
      <c r="A27" s="160"/>
      <c r="B27" s="251"/>
      <c r="C27" s="430" t="s">
        <v>258</v>
      </c>
      <c r="D27" s="166"/>
      <c r="E27" s="162"/>
      <c r="F27" s="255"/>
      <c r="G27" s="288"/>
      <c r="H27" s="288"/>
      <c r="I27" s="288"/>
      <c r="J27" s="288"/>
    </row>
    <row r="28" spans="1:21" s="309" customFormat="1" ht="15.75" customHeight="1" x14ac:dyDescent="0.25">
      <c r="A28" s="160"/>
      <c r="B28" s="251"/>
      <c r="C28" s="365" t="s">
        <v>296</v>
      </c>
      <c r="D28" s="166"/>
      <c r="E28" s="162"/>
      <c r="F28" s="255">
        <v>-630100</v>
      </c>
      <c r="G28" s="288"/>
      <c r="H28" s="288"/>
      <c r="I28" s="288"/>
      <c r="J28" s="288"/>
    </row>
    <row r="29" spans="1:21" s="309" customFormat="1" ht="15.75" customHeight="1" x14ac:dyDescent="0.25">
      <c r="A29" s="184"/>
      <c r="B29" s="183"/>
      <c r="C29" s="405"/>
      <c r="D29" s="304"/>
      <c r="E29" s="185"/>
      <c r="F29" s="406"/>
      <c r="G29" s="288"/>
      <c r="H29" s="288"/>
      <c r="I29" s="288"/>
      <c r="J29" s="288"/>
    </row>
    <row r="30" spans="1:21" s="320" customFormat="1" ht="15.75" customHeight="1" x14ac:dyDescent="0.25">
      <c r="A30" s="321"/>
      <c r="B30" s="322"/>
      <c r="C30" s="323"/>
      <c r="D30" s="324"/>
      <c r="E30" s="339"/>
      <c r="F30" s="248"/>
      <c r="K30" s="332"/>
    </row>
    <row r="31" spans="1:21" s="320" customFormat="1" ht="15.75" customHeight="1" x14ac:dyDescent="0.25">
      <c r="A31" s="321"/>
      <c r="B31" s="333" t="s">
        <v>211</v>
      </c>
      <c r="C31" s="333"/>
      <c r="D31" s="333"/>
      <c r="E31" s="334"/>
      <c r="F31" s="385">
        <f>SUM(F26:F28)</f>
        <v>-510800</v>
      </c>
      <c r="K31" s="332"/>
    </row>
    <row r="32" spans="1:21" s="320" customFormat="1" ht="15.75" customHeight="1" x14ac:dyDescent="0.25">
      <c r="A32" s="321"/>
      <c r="B32" s="333"/>
      <c r="C32" s="322" t="s">
        <v>177</v>
      </c>
      <c r="D32" s="333"/>
      <c r="E32" s="334"/>
      <c r="F32" s="380">
        <f>+F31/G1</f>
        <v>-2.1151576637197456E-2</v>
      </c>
      <c r="K32" s="332"/>
    </row>
    <row r="33" spans="1:11" s="320" customFormat="1" ht="15.75" customHeight="1" x14ac:dyDescent="0.25">
      <c r="A33" s="335"/>
      <c r="B33" s="311"/>
      <c r="C33" s="311"/>
      <c r="D33" s="311"/>
      <c r="E33" s="314"/>
      <c r="F33" s="386"/>
      <c r="K33" s="332"/>
    </row>
    <row r="34" spans="1:11" s="320" customFormat="1" ht="15.75" customHeight="1" x14ac:dyDescent="0.25">
      <c r="A34" s="387"/>
      <c r="B34" s="338"/>
      <c r="C34" s="338"/>
      <c r="D34" s="338"/>
      <c r="E34" s="338"/>
      <c r="F34" s="388"/>
      <c r="K34" s="332"/>
    </row>
    <row r="35" spans="1:11" s="341" customFormat="1" ht="15.75" customHeight="1" x14ac:dyDescent="0.3">
      <c r="A35" s="273" t="s">
        <v>320</v>
      </c>
      <c r="B35" s="189"/>
      <c r="C35" s="189"/>
      <c r="D35" s="189"/>
      <c r="E35" s="189"/>
      <c r="F35" s="274">
        <f>+F21+F31</f>
        <v>2101800</v>
      </c>
      <c r="G35" s="299"/>
      <c r="H35" s="299"/>
      <c r="I35" s="299"/>
      <c r="J35" s="299"/>
    </row>
    <row r="36" spans="1:11" s="341" customFormat="1" ht="15.75" customHeight="1" x14ac:dyDescent="0.25">
      <c r="A36" s="273"/>
      <c r="B36" s="189"/>
      <c r="C36" s="216" t="s">
        <v>177</v>
      </c>
      <c r="D36" s="217"/>
      <c r="E36" s="217"/>
      <c r="F36" s="389">
        <f>+F35/G1</f>
        <v>8.7032857823143336E-2</v>
      </c>
      <c r="G36" s="299"/>
      <c r="H36" s="299"/>
      <c r="I36" s="299"/>
      <c r="J36" s="299"/>
    </row>
    <row r="37" spans="1:11" s="346" customFormat="1" ht="15.75" customHeight="1" x14ac:dyDescent="0.25">
      <c r="A37" s="343"/>
      <c r="B37" s="344"/>
      <c r="C37" s="344"/>
      <c r="D37" s="344"/>
      <c r="E37" s="344"/>
      <c r="F37" s="345"/>
      <c r="G37" s="288"/>
      <c r="H37" s="288"/>
      <c r="I37" s="288"/>
      <c r="J37" s="288"/>
    </row>
    <row r="38" spans="1:11" s="346" customFormat="1" ht="15.75" customHeight="1" x14ac:dyDescent="0.25">
      <c r="A38" s="347"/>
      <c r="B38" s="347"/>
      <c r="C38" s="347"/>
      <c r="D38" s="347"/>
      <c r="E38" s="347"/>
      <c r="G38" s="288"/>
      <c r="H38" s="288"/>
      <c r="I38" s="288"/>
      <c r="J38" s="288"/>
    </row>
    <row r="39" spans="1:11" s="346" customFormat="1" ht="18" customHeight="1" x14ac:dyDescent="0.3">
      <c r="A39" s="459"/>
      <c r="B39" s="459"/>
      <c r="C39" s="459"/>
      <c r="D39" s="459"/>
      <c r="E39" s="459"/>
      <c r="F39" s="370"/>
      <c r="G39" s="288"/>
      <c r="H39" s="288"/>
      <c r="I39" s="288"/>
      <c r="J39" s="288"/>
    </row>
    <row r="40" spans="1:11" s="346" customFormat="1" ht="18" customHeight="1" x14ac:dyDescent="0.25">
      <c r="A40" s="461"/>
      <c r="B40" s="461"/>
      <c r="C40" s="461"/>
      <c r="D40" s="461"/>
      <c r="E40" s="461"/>
      <c r="F40" s="349"/>
      <c r="G40" s="288"/>
      <c r="H40" s="288"/>
      <c r="I40" s="288"/>
      <c r="J40" s="288"/>
    </row>
    <row r="41" spans="1:11" s="346" customFormat="1" ht="18" customHeight="1" x14ac:dyDescent="0.25">
      <c r="A41" s="461"/>
      <c r="B41" s="461"/>
      <c r="C41" s="461"/>
      <c r="D41" s="461"/>
      <c r="E41" s="461"/>
      <c r="F41" s="349"/>
      <c r="G41" s="288"/>
      <c r="H41" s="288"/>
      <c r="I41" s="288"/>
      <c r="J41" s="288"/>
    </row>
    <row r="42" spans="1:11" ht="18" customHeight="1" x14ac:dyDescent="0.25">
      <c r="A42" s="462"/>
      <c r="B42" s="461"/>
      <c r="C42" s="461"/>
      <c r="D42" s="461"/>
      <c r="E42" s="461"/>
      <c r="F42" s="350"/>
    </row>
    <row r="43" spans="1:11" ht="18" customHeight="1" x14ac:dyDescent="0.25">
      <c r="A43" s="461"/>
      <c r="B43" s="461"/>
      <c r="C43" s="461"/>
      <c r="D43" s="461"/>
      <c r="E43" s="461"/>
      <c r="F43" s="350"/>
    </row>
  </sheetData>
  <sortState xmlns:xlrd2="http://schemas.microsoft.com/office/spreadsheetml/2017/richdata2" ref="C26:F28">
    <sortCondition descending="1" ref="F26:F28"/>
  </sortState>
  <mergeCells count="9">
    <mergeCell ref="A43:E43"/>
    <mergeCell ref="A3:E3"/>
    <mergeCell ref="A4:E4"/>
    <mergeCell ref="A5:E6"/>
    <mergeCell ref="F5:F6"/>
    <mergeCell ref="A39:E39"/>
    <mergeCell ref="A40:E40"/>
    <mergeCell ref="A41:E41"/>
    <mergeCell ref="A42:E42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969E-367F-4BAC-9499-6AF15D5F5173}">
  <sheetPr>
    <pageSetUpPr fitToPage="1"/>
  </sheetPr>
  <dimension ref="A1:U42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191</v>
      </c>
      <c r="B1" s="157"/>
      <c r="C1" s="157"/>
      <c r="D1" s="157"/>
      <c r="E1" s="157"/>
      <c r="F1" s="158" t="str">
        <f>+'USHE-GOV'!N1</f>
        <v>December 6, 2024</v>
      </c>
      <c r="G1" s="404">
        <v>9028700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247800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196200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51600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SUM(F13:F15)</f>
        <v>1163000</v>
      </c>
    </row>
    <row r="13" spans="1:21" ht="15.75" customHeight="1" x14ac:dyDescent="0.25">
      <c r="A13" s="171"/>
      <c r="B13" s="300"/>
      <c r="C13" s="164"/>
      <c r="D13" s="365" t="s">
        <v>140</v>
      </c>
      <c r="E13" s="162"/>
      <c r="F13" s="255">
        <v>1077000</v>
      </c>
    </row>
    <row r="14" spans="1:21" ht="15.75" customHeight="1" x14ac:dyDescent="0.25">
      <c r="A14" s="171"/>
      <c r="B14" s="300"/>
      <c r="C14" s="164"/>
      <c r="D14" s="365" t="s">
        <v>258</v>
      </c>
      <c r="E14" s="162"/>
      <c r="F14" s="255">
        <v>61200</v>
      </c>
    </row>
    <row r="15" spans="1:21" ht="15.75" customHeight="1" x14ac:dyDescent="0.25">
      <c r="A15" s="171"/>
      <c r="B15" s="300"/>
      <c r="C15" s="164"/>
      <c r="D15" s="365" t="s">
        <v>153</v>
      </c>
      <c r="E15" s="162"/>
      <c r="F15" s="255">
        <v>24800</v>
      </c>
    </row>
    <row r="16" spans="1:21" s="288" customFormat="1" ht="15.75" customHeight="1" x14ac:dyDescent="0.25">
      <c r="A16" s="171"/>
      <c r="B16" s="300"/>
      <c r="C16" s="164" t="s">
        <v>48</v>
      </c>
      <c r="D16" s="365"/>
      <c r="E16" s="162"/>
      <c r="F16" s="262">
        <f>SUM(F17:H18)</f>
        <v>-44500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295</v>
      </c>
      <c r="E17" s="162"/>
      <c r="F17" s="255">
        <v>-44500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D18" s="430" t="s">
        <v>255</v>
      </c>
      <c r="E18" s="162"/>
      <c r="F18" s="255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82"/>
      <c r="B19" s="303"/>
      <c r="C19" s="304"/>
      <c r="D19" s="183"/>
      <c r="E19" s="185"/>
      <c r="F19" s="377"/>
      <c r="K19" s="289"/>
    </row>
    <row r="20" spans="1:21" s="288" customFormat="1" ht="15.75" customHeight="1" x14ac:dyDescent="0.25">
      <c r="A20" s="178"/>
      <c r="B20" s="179"/>
      <c r="C20" s="179"/>
      <c r="D20" s="180"/>
      <c r="E20" s="181"/>
      <c r="F20" s="378"/>
      <c r="K20" s="289"/>
    </row>
    <row r="21" spans="1:21" s="288" customFormat="1" ht="15.75" customHeight="1" x14ac:dyDescent="0.25">
      <c r="A21" s="171"/>
      <c r="B21" s="170" t="s">
        <v>321</v>
      </c>
      <c r="C21" s="170"/>
      <c r="D21" s="170"/>
      <c r="E21" s="172"/>
      <c r="F21" s="379">
        <f>+F12+F16+F9</f>
        <v>1366300</v>
      </c>
      <c r="K21" s="289"/>
    </row>
    <row r="22" spans="1:21" ht="15.75" customHeight="1" x14ac:dyDescent="0.25">
      <c r="A22" s="171"/>
      <c r="B22" s="170"/>
      <c r="C22" s="251" t="s">
        <v>177</v>
      </c>
      <c r="D22" s="170"/>
      <c r="E22" s="172"/>
      <c r="F22" s="380">
        <f>+F21/$G$1</f>
        <v>0.15132854120748279</v>
      </c>
    </row>
    <row r="23" spans="1:21" s="320" customFormat="1" ht="15.75" customHeight="1" x14ac:dyDescent="0.25">
      <c r="A23" s="310"/>
      <c r="B23" s="311"/>
      <c r="C23" s="312"/>
      <c r="D23" s="313"/>
      <c r="E23" s="314"/>
      <c r="F23" s="384"/>
    </row>
    <row r="24" spans="1:21" s="320" customFormat="1" ht="15.75" customHeight="1" x14ac:dyDescent="0.25">
      <c r="A24" s="387"/>
      <c r="B24" s="338"/>
      <c r="C24" s="407"/>
      <c r="D24" s="390"/>
      <c r="E24" s="339"/>
      <c r="F24" s="248"/>
      <c r="K24" s="332"/>
    </row>
    <row r="25" spans="1:21" ht="15.75" customHeight="1" x14ac:dyDescent="0.25">
      <c r="A25" s="171"/>
      <c r="B25" s="163" t="s">
        <v>100</v>
      </c>
      <c r="C25" s="300"/>
      <c r="D25" s="251"/>
      <c r="E25" s="162"/>
      <c r="F25" s="383"/>
    </row>
    <row r="26" spans="1:21" s="309" customFormat="1" ht="15.75" customHeight="1" x14ac:dyDescent="0.25">
      <c r="A26" s="160"/>
      <c r="B26" s="251"/>
      <c r="C26" s="365" t="s">
        <v>295</v>
      </c>
      <c r="D26" s="166"/>
      <c r="E26" s="162"/>
      <c r="F26" s="255">
        <v>44500</v>
      </c>
      <c r="G26" s="288"/>
      <c r="H26" s="288"/>
      <c r="I26" s="288"/>
      <c r="J26" s="288"/>
    </row>
    <row r="27" spans="1:21" s="309" customFormat="1" ht="15.75" hidden="1" customHeight="1" x14ac:dyDescent="0.25">
      <c r="A27" s="160"/>
      <c r="B27" s="251"/>
      <c r="C27" s="430" t="s">
        <v>258</v>
      </c>
      <c r="D27" s="166"/>
      <c r="E27" s="162"/>
      <c r="F27" s="255"/>
      <c r="G27" s="288"/>
      <c r="H27" s="288"/>
      <c r="I27" s="288"/>
      <c r="J27" s="288"/>
    </row>
    <row r="28" spans="1:21" s="309" customFormat="1" ht="15.75" customHeight="1" x14ac:dyDescent="0.25">
      <c r="A28" s="184"/>
      <c r="B28" s="183"/>
      <c r="C28" s="405"/>
      <c r="D28" s="304"/>
      <c r="E28" s="185"/>
      <c r="F28" s="406"/>
      <c r="G28" s="288"/>
      <c r="H28" s="288"/>
      <c r="I28" s="288"/>
      <c r="J28" s="288"/>
    </row>
    <row r="29" spans="1:21" s="320" customFormat="1" ht="15.75" customHeight="1" x14ac:dyDescent="0.25">
      <c r="A29" s="321"/>
      <c r="B29" s="322"/>
      <c r="C29" s="323"/>
      <c r="D29" s="324"/>
      <c r="E29" s="339"/>
      <c r="F29" s="248"/>
      <c r="K29" s="332"/>
    </row>
    <row r="30" spans="1:21" s="320" customFormat="1" ht="15.75" customHeight="1" x14ac:dyDescent="0.25">
      <c r="A30" s="321"/>
      <c r="B30" s="333" t="s">
        <v>211</v>
      </c>
      <c r="C30" s="333"/>
      <c r="D30" s="333"/>
      <c r="E30" s="334"/>
      <c r="F30" s="385">
        <f>SUM(F26:F27)</f>
        <v>44500</v>
      </c>
      <c r="K30" s="332"/>
    </row>
    <row r="31" spans="1:21" s="320" customFormat="1" ht="15.75" customHeight="1" x14ac:dyDescent="0.25">
      <c r="A31" s="321"/>
      <c r="B31" s="333"/>
      <c r="C31" s="322" t="s">
        <v>177</v>
      </c>
      <c r="D31" s="333"/>
      <c r="E31" s="334"/>
      <c r="F31" s="380">
        <f>+F30/G1</f>
        <v>4.9287272807823938E-3</v>
      </c>
      <c r="K31" s="332"/>
    </row>
    <row r="32" spans="1:21" s="320" customFormat="1" ht="15.75" customHeight="1" x14ac:dyDescent="0.25">
      <c r="A32" s="335"/>
      <c r="B32" s="311"/>
      <c r="C32" s="311"/>
      <c r="D32" s="311"/>
      <c r="E32" s="314"/>
      <c r="F32" s="386"/>
      <c r="K32" s="332"/>
    </row>
    <row r="33" spans="1:11" s="320" customFormat="1" ht="15.75" customHeight="1" x14ac:dyDescent="0.25">
      <c r="A33" s="387"/>
      <c r="B33" s="338"/>
      <c r="C33" s="338"/>
      <c r="D33" s="338"/>
      <c r="E33" s="338"/>
      <c r="F33" s="388"/>
      <c r="K33" s="332"/>
    </row>
    <row r="34" spans="1:11" s="341" customFormat="1" ht="15.75" customHeight="1" x14ac:dyDescent="0.3">
      <c r="A34" s="273" t="s">
        <v>320</v>
      </c>
      <c r="B34" s="189"/>
      <c r="C34" s="189"/>
      <c r="D34" s="189"/>
      <c r="E34" s="189"/>
      <c r="F34" s="274">
        <f>+F21+F30</f>
        <v>1410800</v>
      </c>
      <c r="G34" s="299"/>
      <c r="H34" s="299"/>
      <c r="I34" s="299"/>
      <c r="J34" s="299"/>
    </row>
    <row r="35" spans="1:11" s="341" customFormat="1" ht="15.75" customHeight="1" x14ac:dyDescent="0.25">
      <c r="A35" s="273"/>
      <c r="B35" s="189"/>
      <c r="C35" s="216" t="s">
        <v>177</v>
      </c>
      <c r="D35" s="217"/>
      <c r="E35" s="217"/>
      <c r="F35" s="389">
        <f>+F34/G1</f>
        <v>0.15625726848826521</v>
      </c>
      <c r="G35" s="299"/>
      <c r="H35" s="299"/>
      <c r="I35" s="299"/>
      <c r="J35" s="299"/>
    </row>
    <row r="36" spans="1:11" s="346" customFormat="1" ht="15.75" customHeight="1" x14ac:dyDescent="0.25">
      <c r="A36" s="343"/>
      <c r="B36" s="344"/>
      <c r="C36" s="344"/>
      <c r="D36" s="344"/>
      <c r="E36" s="344"/>
      <c r="F36" s="345"/>
      <c r="G36" s="288"/>
      <c r="H36" s="288"/>
      <c r="I36" s="288"/>
      <c r="J36" s="288"/>
    </row>
    <row r="37" spans="1:11" s="346" customFormat="1" ht="15.75" customHeight="1" x14ac:dyDescent="0.25">
      <c r="A37" s="347"/>
      <c r="B37" s="347"/>
      <c r="C37" s="347"/>
      <c r="D37" s="347"/>
      <c r="E37" s="347"/>
      <c r="G37" s="288"/>
      <c r="H37" s="288"/>
      <c r="I37" s="288"/>
      <c r="J37" s="288"/>
    </row>
    <row r="38" spans="1:11" s="346" customFormat="1" ht="18" customHeight="1" x14ac:dyDescent="0.3">
      <c r="A38" s="459"/>
      <c r="B38" s="459"/>
      <c r="C38" s="459"/>
      <c r="D38" s="459"/>
      <c r="E38" s="459"/>
      <c r="F38" s="370"/>
      <c r="G38" s="288"/>
      <c r="H38" s="288"/>
      <c r="I38" s="288"/>
      <c r="J38" s="288"/>
    </row>
    <row r="39" spans="1:11" s="346" customFormat="1" ht="18" customHeight="1" x14ac:dyDescent="0.25">
      <c r="A39" s="461"/>
      <c r="B39" s="461"/>
      <c r="C39" s="461"/>
      <c r="D39" s="461"/>
      <c r="E39" s="461"/>
      <c r="F39" s="349"/>
      <c r="G39" s="288"/>
      <c r="H39" s="288"/>
      <c r="I39" s="288"/>
      <c r="J39" s="288"/>
    </row>
    <row r="40" spans="1:11" s="346" customFormat="1" ht="18" customHeight="1" x14ac:dyDescent="0.25">
      <c r="A40" s="461"/>
      <c r="B40" s="461"/>
      <c r="C40" s="461"/>
      <c r="D40" s="461"/>
      <c r="E40" s="461"/>
      <c r="F40" s="349"/>
      <c r="G40" s="288"/>
      <c r="H40" s="288"/>
      <c r="I40" s="288"/>
      <c r="J40" s="288"/>
    </row>
    <row r="41" spans="1:11" ht="18" customHeight="1" x14ac:dyDescent="0.25">
      <c r="A41" s="462"/>
      <c r="B41" s="461"/>
      <c r="C41" s="461"/>
      <c r="D41" s="461"/>
      <c r="E41" s="461"/>
      <c r="F41" s="350"/>
    </row>
    <row r="42" spans="1:11" ht="18" customHeight="1" x14ac:dyDescent="0.25">
      <c r="A42" s="461"/>
      <c r="B42" s="461"/>
      <c r="C42" s="461"/>
      <c r="D42" s="461"/>
      <c r="E42" s="461"/>
      <c r="F42" s="350"/>
    </row>
  </sheetData>
  <mergeCells count="9">
    <mergeCell ref="A42:E42"/>
    <mergeCell ref="A3:E3"/>
    <mergeCell ref="A4:E4"/>
    <mergeCell ref="A5:E6"/>
    <mergeCell ref="F5:F6"/>
    <mergeCell ref="A38:E38"/>
    <mergeCell ref="A39:E39"/>
    <mergeCell ref="A40:E40"/>
    <mergeCell ref="A41:E41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06"/>
  <sheetViews>
    <sheetView view="pageBreakPreview" zoomScaleNormal="100" zoomScaleSheetLayoutView="100" workbookViewId="0">
      <selection activeCell="J66" sqref="J66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44.140625" style="289" customWidth="1"/>
    <col min="6" max="6" width="2.42578125" style="289" customWidth="1"/>
    <col min="7" max="7" width="12.85546875" style="289" customWidth="1"/>
    <col min="8" max="9" width="2.42578125" style="289" customWidth="1"/>
    <col min="10" max="10" width="13" style="289" customWidth="1"/>
    <col min="11" max="11" width="2.42578125" style="289" customWidth="1"/>
    <col min="12" max="12" width="12.140625" style="289" customWidth="1"/>
    <col min="13" max="14" width="2.42578125" style="289" customWidth="1"/>
    <col min="15" max="15" width="12.85546875" style="289" customWidth="1"/>
    <col min="16" max="16" width="2.42578125" style="289" customWidth="1"/>
    <col min="17" max="17" width="12.7109375" style="289" customWidth="1"/>
    <col min="18" max="18" width="2.42578125" style="289" customWidth="1"/>
    <col min="19" max="19" width="12.5703125" style="289" customWidth="1"/>
    <col min="20" max="20" width="2.42578125" style="289" customWidth="1"/>
    <col min="21" max="21" width="14.5703125" style="288" hidden="1" customWidth="1"/>
    <col min="22" max="22" width="15.5703125" style="288" hidden="1" customWidth="1"/>
    <col min="23" max="23" width="15.42578125" style="288" customWidth="1"/>
    <col min="24" max="24" width="13" style="288" customWidth="1"/>
    <col min="25" max="25" width="10.28515625" style="289" bestFit="1" customWidth="1"/>
    <col min="26" max="16384" width="8.28515625" style="289"/>
  </cols>
  <sheetData>
    <row r="1" spans="1:25" ht="19.5" customHeight="1" thickBot="1" x14ac:dyDescent="0.3">
      <c r="A1" s="37" t="s">
        <v>9</v>
      </c>
      <c r="B1" s="157"/>
      <c r="C1" s="157"/>
      <c r="D1" s="157"/>
      <c r="E1" s="157"/>
      <c r="F1" s="460" t="s">
        <v>228</v>
      </c>
      <c r="G1" s="460"/>
      <c r="H1" s="460"/>
      <c r="I1" s="460"/>
      <c r="J1" s="460"/>
      <c r="K1" s="460"/>
      <c r="L1" s="391"/>
      <c r="M1" s="158"/>
      <c r="N1" s="391"/>
      <c r="O1" s="391"/>
      <c r="P1" s="391"/>
      <c r="Q1" s="391"/>
      <c r="R1" s="158"/>
      <c r="S1" s="158"/>
      <c r="T1" s="158" t="s">
        <v>231</v>
      </c>
      <c r="U1" s="353">
        <v>1305418800</v>
      </c>
      <c r="V1" s="354" t="s">
        <v>173</v>
      </c>
      <c r="Y1" s="352"/>
    </row>
    <row r="2" spans="1:25" ht="30.75" customHeight="1" x14ac:dyDescent="0.35">
      <c r="A2" s="221" t="s">
        <v>215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50"/>
      <c r="P2" s="159"/>
      <c r="Q2" s="159"/>
      <c r="R2" s="159"/>
      <c r="S2" s="250"/>
      <c r="T2" s="159"/>
      <c r="W2" s="290"/>
    </row>
    <row r="3" spans="1:25" ht="15.75" x14ac:dyDescent="0.25">
      <c r="A3" s="463" t="s">
        <v>251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280"/>
      <c r="O3" s="280"/>
      <c r="P3" s="280"/>
      <c r="Q3" s="280"/>
      <c r="R3" s="280"/>
      <c r="S3" s="280"/>
      <c r="T3" s="280"/>
    </row>
    <row r="4" spans="1:25" ht="15.75" x14ac:dyDescent="0.25">
      <c r="A4" s="464"/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281"/>
      <c r="O4" s="281"/>
      <c r="P4" s="281"/>
      <c r="Q4" s="281"/>
      <c r="R4" s="281"/>
      <c r="S4" s="281"/>
      <c r="T4" s="281"/>
    </row>
    <row r="5" spans="1:25" ht="15.75" customHeight="1" x14ac:dyDescent="0.25">
      <c r="A5" s="465" t="s">
        <v>202</v>
      </c>
      <c r="B5" s="466"/>
      <c r="C5" s="466"/>
      <c r="D5" s="466"/>
      <c r="E5" s="467"/>
      <c r="F5" s="471" t="s">
        <v>210</v>
      </c>
      <c r="G5" s="472"/>
      <c r="H5" s="473"/>
      <c r="I5" s="456" t="s">
        <v>213</v>
      </c>
      <c r="J5" s="457"/>
      <c r="K5" s="457"/>
      <c r="L5" s="457"/>
      <c r="M5" s="458"/>
      <c r="N5" s="456" t="s">
        <v>232</v>
      </c>
      <c r="O5" s="457"/>
      <c r="P5" s="457"/>
      <c r="Q5" s="457"/>
      <c r="R5" s="457"/>
      <c r="S5" s="457"/>
      <c r="T5" s="458"/>
    </row>
    <row r="6" spans="1:25" ht="47.25" x14ac:dyDescent="0.25">
      <c r="A6" s="468"/>
      <c r="B6" s="469"/>
      <c r="C6" s="469"/>
      <c r="D6" s="469"/>
      <c r="E6" s="470"/>
      <c r="F6" s="204"/>
      <c r="G6" s="205" t="s">
        <v>5</v>
      </c>
      <c r="H6" s="206"/>
      <c r="I6" s="204"/>
      <c r="J6" s="205" t="s">
        <v>5</v>
      </c>
      <c r="K6" s="205"/>
      <c r="L6" s="205" t="s">
        <v>209</v>
      </c>
      <c r="M6" s="206"/>
      <c r="N6" s="161"/>
      <c r="O6" s="253" t="s">
        <v>5</v>
      </c>
      <c r="P6" s="161"/>
      <c r="Q6" s="161" t="s">
        <v>6</v>
      </c>
      <c r="R6" s="161"/>
      <c r="S6" s="161" t="s">
        <v>209</v>
      </c>
      <c r="T6" s="254"/>
      <c r="Y6" s="291"/>
    </row>
    <row r="7" spans="1:25" ht="15.75" customHeight="1" x14ac:dyDescent="0.35">
      <c r="A7" s="219"/>
      <c r="B7" s="292"/>
      <c r="C7" s="292"/>
      <c r="D7" s="292"/>
      <c r="E7" s="293"/>
      <c r="F7" s="160"/>
      <c r="G7" s="215"/>
      <c r="H7" s="162"/>
      <c r="I7" s="160"/>
      <c r="J7" s="215"/>
      <c r="K7" s="215"/>
      <c r="L7" s="215"/>
      <c r="M7" s="162"/>
      <c r="N7" s="294"/>
      <c r="O7" s="295"/>
      <c r="P7" s="296"/>
      <c r="Q7" s="296"/>
      <c r="R7" s="296"/>
      <c r="S7" s="296"/>
      <c r="T7" s="297"/>
    </row>
    <row r="8" spans="1:25" ht="15.75" customHeight="1" x14ac:dyDescent="0.25">
      <c r="A8" s="298"/>
      <c r="B8" s="170" t="s">
        <v>169</v>
      </c>
      <c r="C8" s="251"/>
      <c r="D8" s="251"/>
      <c r="E8" s="162"/>
      <c r="F8" s="160"/>
      <c r="G8" s="251"/>
      <c r="H8" s="162"/>
      <c r="I8" s="160"/>
      <c r="J8" s="251"/>
      <c r="K8" s="251"/>
      <c r="L8" s="251"/>
      <c r="M8" s="162"/>
      <c r="N8" s="160"/>
      <c r="O8" s="251"/>
      <c r="P8" s="251"/>
      <c r="Q8" s="251"/>
      <c r="R8" s="251"/>
      <c r="S8" s="251"/>
      <c r="T8" s="162"/>
      <c r="W8" s="299"/>
    </row>
    <row r="9" spans="1:25" ht="15.75" customHeight="1" x14ac:dyDescent="0.25">
      <c r="A9" s="171"/>
      <c r="B9" s="300"/>
      <c r="C9" s="164" t="s">
        <v>7</v>
      </c>
      <c r="D9" s="164"/>
      <c r="E9" s="162"/>
      <c r="F9" s="160"/>
      <c r="G9" s="257">
        <f>SUM(G10:G12)</f>
        <v>54040700</v>
      </c>
      <c r="H9" s="262"/>
      <c r="I9" s="308"/>
      <c r="J9" s="257">
        <f>SUM(J10:J12)</f>
        <v>54040700</v>
      </c>
      <c r="K9" s="263"/>
      <c r="L9" s="257">
        <f t="shared" ref="L9:L13" si="0">SUM(J9)-SUM(G9)</f>
        <v>0</v>
      </c>
      <c r="M9" s="262"/>
      <c r="N9" s="308"/>
      <c r="O9" s="257">
        <v>54040700</v>
      </c>
      <c r="P9" s="287"/>
      <c r="Q9" s="257">
        <f t="shared" ref="Q9:Q13" si="1">+O9-J9</f>
        <v>0</v>
      </c>
      <c r="R9" s="366"/>
      <c r="S9" s="257">
        <f t="shared" ref="S9:S13" si="2">+O9-G9</f>
        <v>0</v>
      </c>
      <c r="T9" s="165"/>
      <c r="U9" s="363"/>
    </row>
    <row r="10" spans="1:25" ht="15.75" customHeight="1" x14ac:dyDescent="0.25">
      <c r="A10" s="171"/>
      <c r="B10" s="300"/>
      <c r="C10" s="164"/>
      <c r="D10" s="166" t="s">
        <v>233</v>
      </c>
      <c r="E10" s="162"/>
      <c r="F10" s="160"/>
      <c r="G10" s="218">
        <v>42886100</v>
      </c>
      <c r="H10" s="248"/>
      <c r="I10" s="249"/>
      <c r="J10" s="218">
        <v>42886100</v>
      </c>
      <c r="K10" s="283"/>
      <c r="L10" s="257">
        <f t="shared" si="0"/>
        <v>0</v>
      </c>
      <c r="M10" s="255"/>
      <c r="N10" s="256"/>
      <c r="O10" s="218">
        <v>42886100</v>
      </c>
      <c r="P10" s="366"/>
      <c r="Q10" s="218">
        <f t="shared" si="1"/>
        <v>0</v>
      </c>
      <c r="R10" s="267"/>
      <c r="S10" s="218">
        <f t="shared" si="2"/>
        <v>0</v>
      </c>
      <c r="T10" s="167"/>
    </row>
    <row r="11" spans="1:25" ht="15.75" customHeight="1" x14ac:dyDescent="0.25">
      <c r="A11" s="171"/>
      <c r="B11" s="300"/>
      <c r="C11" s="164"/>
      <c r="D11" s="166" t="s">
        <v>225</v>
      </c>
      <c r="E11" s="162"/>
      <c r="F11" s="160"/>
      <c r="G11" s="257">
        <v>11085100</v>
      </c>
      <c r="H11" s="248"/>
      <c r="I11" s="249"/>
      <c r="J11" s="257">
        <v>11085100</v>
      </c>
      <c r="K11" s="283"/>
      <c r="L11" s="257">
        <f t="shared" ref="L11" si="3">SUM(J11)-SUM(G11)</f>
        <v>0</v>
      </c>
      <c r="M11" s="255"/>
      <c r="N11" s="256"/>
      <c r="O11" s="218">
        <v>11085100</v>
      </c>
      <c r="P11" s="366"/>
      <c r="Q11" s="218">
        <f t="shared" ref="Q11" si="4">+O11-J11</f>
        <v>0</v>
      </c>
      <c r="R11" s="267"/>
      <c r="S11" s="218">
        <f t="shared" ref="S11" si="5">+O11-G11</f>
        <v>0</v>
      </c>
      <c r="T11" s="167"/>
    </row>
    <row r="12" spans="1:25" ht="15.75" customHeight="1" x14ac:dyDescent="0.25">
      <c r="A12" s="171"/>
      <c r="B12" s="300"/>
      <c r="C12" s="164"/>
      <c r="D12" s="166" t="s">
        <v>224</v>
      </c>
      <c r="E12" s="162"/>
      <c r="F12" s="160"/>
      <c r="G12" s="257">
        <v>69500</v>
      </c>
      <c r="H12" s="258"/>
      <c r="I12" s="259"/>
      <c r="J12" s="257">
        <v>69500</v>
      </c>
      <c r="K12" s="284"/>
      <c r="L12" s="257">
        <f t="shared" si="0"/>
        <v>0</v>
      </c>
      <c r="M12" s="255"/>
      <c r="N12" s="301"/>
      <c r="O12" s="257">
        <v>69500</v>
      </c>
      <c r="P12" s="366"/>
      <c r="Q12" s="218">
        <f t="shared" si="1"/>
        <v>0</v>
      </c>
      <c r="R12" s="267"/>
      <c r="S12" s="218">
        <f t="shared" si="2"/>
        <v>0</v>
      </c>
      <c r="T12" s="302"/>
    </row>
    <row r="13" spans="1:25" ht="15.75" customHeight="1" x14ac:dyDescent="0.25">
      <c r="A13" s="171"/>
      <c r="B13" s="300"/>
      <c r="C13" s="164" t="s">
        <v>141</v>
      </c>
      <c r="D13" s="364"/>
      <c r="E13" s="162"/>
      <c r="F13" s="160"/>
      <c r="G13" s="257">
        <f>SUM(G14:G17)</f>
        <v>12281800</v>
      </c>
      <c r="H13" s="285"/>
      <c r="I13" s="286"/>
      <c r="J13" s="257">
        <f>SUM(J14:J17)</f>
        <v>12281800</v>
      </c>
      <c r="K13" s="287"/>
      <c r="L13" s="257">
        <f t="shared" si="0"/>
        <v>0</v>
      </c>
      <c r="M13" s="262"/>
      <c r="N13" s="256"/>
      <c r="O13" s="257">
        <f>SUM(O14:O17)</f>
        <v>12281800</v>
      </c>
      <c r="P13" s="366"/>
      <c r="Q13" s="257">
        <f t="shared" si="1"/>
        <v>0</v>
      </c>
      <c r="R13" s="366"/>
      <c r="S13" s="257">
        <f t="shared" si="2"/>
        <v>0</v>
      </c>
      <c r="T13" s="169"/>
    </row>
    <row r="14" spans="1:25" ht="15.75" customHeight="1" x14ac:dyDescent="0.25">
      <c r="A14" s="171"/>
      <c r="B14" s="300"/>
      <c r="C14" s="164"/>
      <c r="D14" s="365" t="s">
        <v>203</v>
      </c>
      <c r="E14" s="162"/>
      <c r="F14" s="160"/>
      <c r="G14" s="257">
        <v>9350000</v>
      </c>
      <c r="H14" s="285"/>
      <c r="I14" s="286"/>
      <c r="J14" s="263">
        <v>9350000</v>
      </c>
      <c r="K14" s="287"/>
      <c r="L14" s="257">
        <f>SUM(J14)-SUM(G14)</f>
        <v>0</v>
      </c>
      <c r="M14" s="262"/>
      <c r="N14" s="256"/>
      <c r="O14" s="257">
        <v>9350000</v>
      </c>
      <c r="P14" s="366"/>
      <c r="Q14" s="257">
        <f>+O14-J14</f>
        <v>0</v>
      </c>
      <c r="R14" s="366"/>
      <c r="S14" s="257">
        <f t="shared" ref="S14" si="6">+O14-G14</f>
        <v>0</v>
      </c>
      <c r="T14" s="169"/>
    </row>
    <row r="15" spans="1:25" ht="15.75" customHeight="1" x14ac:dyDescent="0.25">
      <c r="A15" s="171"/>
      <c r="B15" s="300"/>
      <c r="C15" s="164"/>
      <c r="D15" s="365" t="s">
        <v>204</v>
      </c>
      <c r="E15" s="162"/>
      <c r="F15" s="160"/>
      <c r="G15" s="257">
        <v>1666800</v>
      </c>
      <c r="H15" s="285"/>
      <c r="I15" s="286"/>
      <c r="J15" s="263">
        <v>1666800</v>
      </c>
      <c r="K15" s="287"/>
      <c r="L15" s="257">
        <f t="shared" ref="L15" si="7">SUM(J15)-SUM(G15)</f>
        <v>0</v>
      </c>
      <c r="M15" s="262"/>
      <c r="N15" s="256"/>
      <c r="O15" s="257">
        <v>1666800</v>
      </c>
      <c r="P15" s="366"/>
      <c r="Q15" s="257">
        <f t="shared" ref="Q15" si="8">+O15-J15</f>
        <v>0</v>
      </c>
      <c r="R15" s="366"/>
      <c r="S15" s="257">
        <f t="shared" ref="S15" si="9">+O15-G15</f>
        <v>0</v>
      </c>
      <c r="T15" s="169"/>
    </row>
    <row r="16" spans="1:25" ht="15.75" customHeight="1" x14ac:dyDescent="0.25">
      <c r="A16" s="171"/>
      <c r="B16" s="300"/>
      <c r="C16" s="164"/>
      <c r="D16" s="365" t="s">
        <v>201</v>
      </c>
      <c r="E16" s="162"/>
      <c r="F16" s="160"/>
      <c r="G16" s="257">
        <v>743000</v>
      </c>
      <c r="H16" s="285"/>
      <c r="I16" s="286"/>
      <c r="J16" s="263">
        <v>743000</v>
      </c>
      <c r="K16" s="287"/>
      <c r="L16" s="257">
        <f t="shared" ref="L16" si="10">SUM(J16)-SUM(G16)</f>
        <v>0</v>
      </c>
      <c r="M16" s="262"/>
      <c r="N16" s="256"/>
      <c r="O16" s="257">
        <v>743000</v>
      </c>
      <c r="P16" s="366"/>
      <c r="Q16" s="257">
        <f t="shared" ref="Q16" si="11">+O16-J16</f>
        <v>0</v>
      </c>
      <c r="R16" s="366"/>
      <c r="S16" s="257">
        <f t="shared" ref="S16" si="12">+O16-G16</f>
        <v>0</v>
      </c>
      <c r="T16" s="169"/>
    </row>
    <row r="17" spans="1:20" ht="15.75" customHeight="1" x14ac:dyDescent="0.25">
      <c r="A17" s="171"/>
      <c r="B17" s="300"/>
      <c r="C17" s="164"/>
      <c r="D17" s="365" t="s">
        <v>37</v>
      </c>
      <c r="E17" s="162"/>
      <c r="F17" s="160"/>
      <c r="G17" s="257">
        <v>522000</v>
      </c>
      <c r="H17" s="285"/>
      <c r="I17" s="286"/>
      <c r="J17" s="263">
        <v>522000</v>
      </c>
      <c r="K17" s="287"/>
      <c r="L17" s="257">
        <f t="shared" ref="L17:L20" si="13">SUM(J17)-SUM(G17)</f>
        <v>0</v>
      </c>
      <c r="M17" s="262"/>
      <c r="N17" s="256"/>
      <c r="O17" s="257">
        <v>522000</v>
      </c>
      <c r="P17" s="366"/>
      <c r="Q17" s="257">
        <f t="shared" ref="Q17:Q20" si="14">+O17-J17</f>
        <v>0</v>
      </c>
      <c r="R17" s="366"/>
      <c r="S17" s="257">
        <f t="shared" ref="S17:S20" si="15">+O17-G17</f>
        <v>0</v>
      </c>
      <c r="T17" s="169"/>
    </row>
    <row r="18" spans="1:20" ht="15.75" customHeight="1" x14ac:dyDescent="0.25">
      <c r="A18" s="171"/>
      <c r="B18" s="300"/>
      <c r="C18" s="164" t="s">
        <v>205</v>
      </c>
      <c r="D18" s="364"/>
      <c r="E18" s="162"/>
      <c r="F18" s="160"/>
      <c r="G18" s="257">
        <f>SUM(G19:G22)</f>
        <v>40677600</v>
      </c>
      <c r="H18" s="285"/>
      <c r="I18" s="286"/>
      <c r="J18" s="257">
        <f>SUM(J19:J22)</f>
        <v>40677600</v>
      </c>
      <c r="K18" s="287"/>
      <c r="L18" s="257">
        <f t="shared" si="13"/>
        <v>0</v>
      </c>
      <c r="M18" s="262"/>
      <c r="N18" s="256"/>
      <c r="O18" s="257">
        <f>SUM(O19:O22)</f>
        <v>40677600</v>
      </c>
      <c r="P18" s="366"/>
      <c r="Q18" s="257">
        <f t="shared" si="14"/>
        <v>0</v>
      </c>
      <c r="R18" s="366"/>
      <c r="S18" s="257">
        <f t="shared" si="15"/>
        <v>0</v>
      </c>
      <c r="T18" s="169"/>
    </row>
    <row r="19" spans="1:20" ht="15.75" customHeight="1" x14ac:dyDescent="0.25">
      <c r="A19" s="171"/>
      <c r="B19" s="300"/>
      <c r="C19" s="164"/>
      <c r="D19" s="365" t="s">
        <v>206</v>
      </c>
      <c r="E19" s="162"/>
      <c r="F19" s="160"/>
      <c r="G19" s="257">
        <v>35000000</v>
      </c>
      <c r="H19" s="285"/>
      <c r="I19" s="286"/>
      <c r="J19" s="263">
        <v>35000000</v>
      </c>
      <c r="K19" s="287"/>
      <c r="L19" s="257">
        <f t="shared" si="13"/>
        <v>0</v>
      </c>
      <c r="M19" s="262"/>
      <c r="N19" s="256"/>
      <c r="O19" s="257">
        <v>35000000</v>
      </c>
      <c r="P19" s="366"/>
      <c r="Q19" s="257">
        <f t="shared" si="14"/>
        <v>0</v>
      </c>
      <c r="R19" s="366"/>
      <c r="S19" s="257">
        <f t="shared" si="15"/>
        <v>0</v>
      </c>
      <c r="T19" s="169"/>
    </row>
    <row r="20" spans="1:20" ht="15.75" customHeight="1" x14ac:dyDescent="0.25">
      <c r="A20" s="171"/>
      <c r="B20" s="300"/>
      <c r="C20" s="164"/>
      <c r="D20" s="365" t="s">
        <v>140</v>
      </c>
      <c r="E20" s="162"/>
      <c r="F20" s="160"/>
      <c r="G20" s="257">
        <v>4992000</v>
      </c>
      <c r="H20" s="285"/>
      <c r="I20" s="286"/>
      <c r="J20" s="263">
        <v>4992000</v>
      </c>
      <c r="K20" s="287"/>
      <c r="L20" s="257">
        <f t="shared" si="13"/>
        <v>0</v>
      </c>
      <c r="M20" s="262"/>
      <c r="N20" s="256"/>
      <c r="O20" s="257">
        <v>4992000</v>
      </c>
      <c r="P20" s="366"/>
      <c r="Q20" s="257">
        <f t="shared" si="14"/>
        <v>0</v>
      </c>
      <c r="R20" s="366"/>
      <c r="S20" s="257">
        <f t="shared" si="15"/>
        <v>0</v>
      </c>
      <c r="T20" s="169"/>
    </row>
    <row r="21" spans="1:20" ht="15.75" hidden="1" customHeight="1" x14ac:dyDescent="0.25">
      <c r="A21" s="171"/>
      <c r="B21" s="300"/>
      <c r="C21" s="164"/>
      <c r="D21" s="365" t="s">
        <v>207</v>
      </c>
      <c r="E21" s="162"/>
      <c r="F21" s="160"/>
      <c r="G21" s="257">
        <v>0</v>
      </c>
      <c r="H21" s="285"/>
      <c r="I21" s="286"/>
      <c r="J21" s="263">
        <v>0</v>
      </c>
      <c r="K21" s="287"/>
      <c r="L21" s="257">
        <f t="shared" ref="L21" si="16">SUM(J21)-SUM(G21)</f>
        <v>0</v>
      </c>
      <c r="M21" s="262"/>
      <c r="N21" s="256"/>
      <c r="O21" s="257">
        <v>0</v>
      </c>
      <c r="P21" s="366"/>
      <c r="Q21" s="257">
        <f t="shared" ref="Q21" si="17">+O21-J21</f>
        <v>0</v>
      </c>
      <c r="R21" s="366"/>
      <c r="S21" s="257">
        <f t="shared" ref="S21" si="18">+O21-G21</f>
        <v>0</v>
      </c>
      <c r="T21" s="169"/>
    </row>
    <row r="22" spans="1:20" ht="15.75" customHeight="1" x14ac:dyDescent="0.25">
      <c r="A22" s="171"/>
      <c r="B22" s="300"/>
      <c r="C22" s="164"/>
      <c r="D22" s="365" t="s">
        <v>201</v>
      </c>
      <c r="E22" s="162"/>
      <c r="F22" s="160"/>
      <c r="G22" s="257">
        <v>685600</v>
      </c>
      <c r="H22" s="285"/>
      <c r="I22" s="286"/>
      <c r="J22" s="263">
        <v>685600</v>
      </c>
      <c r="K22" s="287"/>
      <c r="L22" s="257">
        <f t="shared" ref="L22:L26" si="19">SUM(J22)-SUM(G22)</f>
        <v>0</v>
      </c>
      <c r="M22" s="262"/>
      <c r="N22" s="256"/>
      <c r="O22" s="257">
        <v>685600</v>
      </c>
      <c r="P22" s="366"/>
      <c r="Q22" s="257">
        <f t="shared" ref="Q22:Q26" si="20">+O22-J22</f>
        <v>0</v>
      </c>
      <c r="R22" s="366"/>
      <c r="S22" s="257">
        <f t="shared" ref="S22:S26" si="21">+O22-G22</f>
        <v>0</v>
      </c>
      <c r="T22" s="169"/>
    </row>
    <row r="23" spans="1:20" ht="15.75" customHeight="1" x14ac:dyDescent="0.25">
      <c r="A23" s="171"/>
      <c r="B23" s="300"/>
      <c r="C23" s="164" t="s">
        <v>208</v>
      </c>
      <c r="D23" s="364"/>
      <c r="E23" s="162"/>
      <c r="F23" s="160"/>
      <c r="G23" s="257">
        <f>SUM(G24:G25)</f>
        <v>4000000</v>
      </c>
      <c r="H23" s="285"/>
      <c r="I23" s="286"/>
      <c r="J23" s="257">
        <f>SUM(J24:J25)</f>
        <v>4000000</v>
      </c>
      <c r="K23" s="287"/>
      <c r="L23" s="257">
        <f t="shared" si="19"/>
        <v>0</v>
      </c>
      <c r="M23" s="262"/>
      <c r="N23" s="256"/>
      <c r="O23" s="257">
        <f>SUM(O24:O25)</f>
        <v>3000000</v>
      </c>
      <c r="P23" s="366"/>
      <c r="Q23" s="257">
        <f t="shared" si="20"/>
        <v>-1000000</v>
      </c>
      <c r="R23" s="366"/>
      <c r="S23" s="257">
        <f t="shared" si="21"/>
        <v>-1000000</v>
      </c>
      <c r="T23" s="169"/>
    </row>
    <row r="24" spans="1:20" ht="15.75" customHeight="1" x14ac:dyDescent="0.25">
      <c r="A24" s="171"/>
      <c r="B24" s="300"/>
      <c r="C24" s="164"/>
      <c r="D24" s="365" t="s">
        <v>217</v>
      </c>
      <c r="E24" s="162"/>
      <c r="F24" s="160"/>
      <c r="G24" s="257">
        <v>3000000</v>
      </c>
      <c r="H24" s="285"/>
      <c r="I24" s="286"/>
      <c r="J24" s="263">
        <v>3000000</v>
      </c>
      <c r="K24" s="287"/>
      <c r="L24" s="257">
        <f t="shared" si="19"/>
        <v>0</v>
      </c>
      <c r="M24" s="262"/>
      <c r="N24" s="256"/>
      <c r="O24" s="257">
        <v>3000000</v>
      </c>
      <c r="P24" s="366"/>
      <c r="Q24" s="257">
        <f t="shared" si="20"/>
        <v>0</v>
      </c>
      <c r="R24" s="366"/>
      <c r="S24" s="257">
        <f t="shared" si="21"/>
        <v>0</v>
      </c>
      <c r="T24" s="169"/>
    </row>
    <row r="25" spans="1:20" ht="15.75" customHeight="1" x14ac:dyDescent="0.25">
      <c r="A25" s="171"/>
      <c r="B25" s="300"/>
      <c r="C25" s="164"/>
      <c r="D25" s="365" t="s">
        <v>218</v>
      </c>
      <c r="E25" s="162"/>
      <c r="F25" s="160"/>
      <c r="G25" s="257">
        <v>1000000</v>
      </c>
      <c r="H25" s="285"/>
      <c r="I25" s="286"/>
      <c r="J25" s="263">
        <v>1000000</v>
      </c>
      <c r="K25" s="287"/>
      <c r="L25" s="257">
        <f t="shared" ref="L25" si="22">SUM(J25)-SUM(G25)</f>
        <v>0</v>
      </c>
      <c r="M25" s="262"/>
      <c r="N25" s="256"/>
      <c r="O25" s="257">
        <v>0</v>
      </c>
      <c r="P25" s="366"/>
      <c r="Q25" s="257">
        <f t="shared" ref="Q25" si="23">+O25-J25</f>
        <v>-1000000</v>
      </c>
      <c r="R25" s="366"/>
      <c r="S25" s="257">
        <f t="shared" ref="S25" si="24">+O25-G25</f>
        <v>-1000000</v>
      </c>
      <c r="T25" s="169"/>
    </row>
    <row r="26" spans="1:20" ht="15.75" customHeight="1" x14ac:dyDescent="0.25">
      <c r="A26" s="171"/>
      <c r="B26" s="300"/>
      <c r="C26" s="164" t="s">
        <v>48</v>
      </c>
      <c r="D26" s="365"/>
      <c r="E26" s="162"/>
      <c r="F26" s="160"/>
      <c r="G26" s="257">
        <f>SUM(G27:G52)</f>
        <v>2967700</v>
      </c>
      <c r="H26" s="285"/>
      <c r="I26" s="286"/>
      <c r="J26" s="263">
        <f>SUM(J27:J52)</f>
        <v>9967700</v>
      </c>
      <c r="K26" s="287"/>
      <c r="L26" s="257">
        <f t="shared" si="19"/>
        <v>7000000</v>
      </c>
      <c r="M26" s="262"/>
      <c r="N26" s="256"/>
      <c r="O26" s="263">
        <f>SUM(O27:O52)</f>
        <v>14001000</v>
      </c>
      <c r="P26" s="366"/>
      <c r="Q26" s="257">
        <f t="shared" si="20"/>
        <v>4033300</v>
      </c>
      <c r="R26" s="366"/>
      <c r="S26" s="257">
        <f t="shared" si="21"/>
        <v>11033300</v>
      </c>
      <c r="T26" s="169"/>
    </row>
    <row r="27" spans="1:20" ht="15.75" customHeight="1" x14ac:dyDescent="0.25">
      <c r="A27" s="171"/>
      <c r="B27" s="300"/>
      <c r="C27" s="164"/>
      <c r="D27" s="365" t="s">
        <v>230</v>
      </c>
      <c r="E27" s="162"/>
      <c r="F27" s="160"/>
      <c r="G27" s="257">
        <v>0</v>
      </c>
      <c r="H27" s="285"/>
      <c r="I27" s="286"/>
      <c r="J27" s="263">
        <v>5000000</v>
      </c>
      <c r="K27" s="287"/>
      <c r="L27" s="257">
        <f t="shared" ref="L27:L52" si="25">SUM(J27)-SUM(G27)</f>
        <v>5000000</v>
      </c>
      <c r="M27" s="262"/>
      <c r="N27" s="256"/>
      <c r="O27" s="257">
        <v>0</v>
      </c>
      <c r="P27" s="366"/>
      <c r="Q27" s="257">
        <f t="shared" ref="Q27:Q52" si="26">+O27-J27</f>
        <v>-5000000</v>
      </c>
      <c r="R27" s="366"/>
      <c r="S27" s="257">
        <f t="shared" ref="S27:S52" si="27">+O27-G27</f>
        <v>0</v>
      </c>
      <c r="T27" s="169"/>
    </row>
    <row r="28" spans="1:20" ht="15.75" customHeight="1" x14ac:dyDescent="0.25">
      <c r="A28" s="171"/>
      <c r="B28" s="300"/>
      <c r="C28" s="164"/>
      <c r="D28" s="365" t="s">
        <v>229</v>
      </c>
      <c r="E28" s="162"/>
      <c r="F28" s="160"/>
      <c r="G28" s="257">
        <v>2967700</v>
      </c>
      <c r="H28" s="285"/>
      <c r="I28" s="286"/>
      <c r="J28" s="263">
        <f>173700+2794000</f>
        <v>2967700</v>
      </c>
      <c r="K28" s="287"/>
      <c r="L28" s="257">
        <f t="shared" si="25"/>
        <v>0</v>
      </c>
      <c r="M28" s="262"/>
      <c r="N28" s="256"/>
      <c r="O28" s="257">
        <v>0</v>
      </c>
      <c r="P28" s="366"/>
      <c r="Q28" s="257">
        <f t="shared" si="26"/>
        <v>-2967700</v>
      </c>
      <c r="R28" s="366"/>
      <c r="S28" s="257">
        <f t="shared" si="27"/>
        <v>-2967700</v>
      </c>
      <c r="T28" s="169"/>
    </row>
    <row r="29" spans="1:20" ht="15.75" customHeight="1" x14ac:dyDescent="0.25">
      <c r="A29" s="171"/>
      <c r="B29" s="300"/>
      <c r="C29" s="164"/>
      <c r="D29" s="365" t="s">
        <v>226</v>
      </c>
      <c r="E29" s="162"/>
      <c r="F29" s="160"/>
      <c r="G29" s="257">
        <v>0</v>
      </c>
      <c r="H29" s="285"/>
      <c r="I29" s="286"/>
      <c r="J29" s="263">
        <v>2000000</v>
      </c>
      <c r="K29" s="287"/>
      <c r="L29" s="257">
        <f t="shared" si="25"/>
        <v>2000000</v>
      </c>
      <c r="M29" s="262"/>
      <c r="N29" s="256"/>
      <c r="O29" s="257">
        <v>0</v>
      </c>
      <c r="P29" s="366"/>
      <c r="Q29" s="257">
        <f t="shared" si="26"/>
        <v>-2000000</v>
      </c>
      <c r="R29" s="366"/>
      <c r="S29" s="257">
        <f t="shared" si="27"/>
        <v>0</v>
      </c>
      <c r="T29" s="169"/>
    </row>
    <row r="30" spans="1:20" ht="15.75" customHeight="1" x14ac:dyDescent="0.25">
      <c r="A30" s="171"/>
      <c r="B30" s="300"/>
      <c r="C30" s="164"/>
      <c r="D30" s="365" t="s">
        <v>252</v>
      </c>
      <c r="E30" s="162"/>
      <c r="F30" s="160"/>
      <c r="G30" s="257">
        <v>0</v>
      </c>
      <c r="H30" s="285"/>
      <c r="I30" s="286"/>
      <c r="J30" s="263">
        <v>0</v>
      </c>
      <c r="K30" s="287"/>
      <c r="L30" s="257">
        <f t="shared" si="25"/>
        <v>0</v>
      </c>
      <c r="M30" s="262"/>
      <c r="N30" s="256"/>
      <c r="O30" s="257">
        <v>-90000</v>
      </c>
      <c r="P30" s="366"/>
      <c r="Q30" s="257">
        <f t="shared" si="26"/>
        <v>-90000</v>
      </c>
      <c r="R30" s="366"/>
      <c r="S30" s="257">
        <f t="shared" si="27"/>
        <v>-90000</v>
      </c>
      <c r="T30" s="169"/>
    </row>
    <row r="31" spans="1:20" ht="15.75" customHeight="1" x14ac:dyDescent="0.25">
      <c r="A31" s="171"/>
      <c r="B31" s="300"/>
      <c r="C31" s="164"/>
      <c r="D31" s="365" t="s">
        <v>157</v>
      </c>
      <c r="E31" s="162"/>
      <c r="F31" s="160"/>
      <c r="G31" s="257">
        <v>0</v>
      </c>
      <c r="H31" s="285"/>
      <c r="I31" s="286"/>
      <c r="J31" s="263">
        <v>0</v>
      </c>
      <c r="K31" s="287"/>
      <c r="L31" s="257">
        <f t="shared" ref="L31" si="28">SUM(J31)-SUM(G31)</f>
        <v>0</v>
      </c>
      <c r="M31" s="262"/>
      <c r="N31" s="256"/>
      <c r="O31" s="257">
        <v>950000</v>
      </c>
      <c r="P31" s="366"/>
      <c r="Q31" s="257">
        <f t="shared" ref="Q31" si="29">+O31-J31</f>
        <v>950000</v>
      </c>
      <c r="R31" s="366"/>
      <c r="S31" s="257">
        <f t="shared" ref="S31" si="30">+O31-G31</f>
        <v>950000</v>
      </c>
      <c r="T31" s="169"/>
    </row>
    <row r="32" spans="1:20" ht="15.75" customHeight="1" x14ac:dyDescent="0.25">
      <c r="A32" s="171"/>
      <c r="B32" s="300"/>
      <c r="C32" s="164"/>
      <c r="D32" s="365" t="s">
        <v>235</v>
      </c>
      <c r="E32" s="162"/>
      <c r="F32" s="160"/>
      <c r="G32" s="257">
        <v>0</v>
      </c>
      <c r="H32" s="285"/>
      <c r="I32" s="286"/>
      <c r="J32" s="263">
        <v>0</v>
      </c>
      <c r="K32" s="287"/>
      <c r="L32" s="257">
        <f t="shared" si="25"/>
        <v>0</v>
      </c>
      <c r="M32" s="262"/>
      <c r="N32" s="256"/>
      <c r="O32" s="257">
        <v>1291000</v>
      </c>
      <c r="P32" s="366"/>
      <c r="Q32" s="257">
        <f t="shared" si="26"/>
        <v>1291000</v>
      </c>
      <c r="R32" s="366"/>
      <c r="S32" s="257">
        <f t="shared" si="27"/>
        <v>1291000</v>
      </c>
      <c r="T32" s="169"/>
    </row>
    <row r="33" spans="1:23" ht="15.75" customHeight="1" x14ac:dyDescent="0.25">
      <c r="A33" s="171"/>
      <c r="B33" s="300"/>
      <c r="C33" s="164"/>
      <c r="D33" s="365" t="s">
        <v>236</v>
      </c>
      <c r="E33" s="162"/>
      <c r="F33" s="160"/>
      <c r="G33" s="257">
        <v>0</v>
      </c>
      <c r="H33" s="285"/>
      <c r="I33" s="286"/>
      <c r="J33" s="263">
        <v>0</v>
      </c>
      <c r="K33" s="287"/>
      <c r="L33" s="257">
        <f t="shared" si="25"/>
        <v>0</v>
      </c>
      <c r="M33" s="262"/>
      <c r="N33" s="256"/>
      <c r="O33" s="257">
        <v>2500000</v>
      </c>
      <c r="P33" s="366"/>
      <c r="Q33" s="257">
        <f t="shared" si="26"/>
        <v>2500000</v>
      </c>
      <c r="R33" s="366"/>
      <c r="S33" s="257">
        <f t="shared" si="27"/>
        <v>2500000</v>
      </c>
      <c r="T33" s="169"/>
    </row>
    <row r="34" spans="1:23" ht="15.75" customHeight="1" x14ac:dyDescent="0.25">
      <c r="A34" s="171"/>
      <c r="B34" s="300"/>
      <c r="C34" s="164"/>
      <c r="D34" s="365" t="s">
        <v>237</v>
      </c>
      <c r="E34" s="162"/>
      <c r="F34" s="160"/>
      <c r="G34" s="257">
        <v>0</v>
      </c>
      <c r="H34" s="285"/>
      <c r="I34" s="286"/>
      <c r="J34" s="263">
        <v>0</v>
      </c>
      <c r="K34" s="287"/>
      <c r="L34" s="257">
        <f t="shared" si="25"/>
        <v>0</v>
      </c>
      <c r="M34" s="262"/>
      <c r="N34" s="256"/>
      <c r="O34" s="257">
        <v>2000000</v>
      </c>
      <c r="P34" s="366"/>
      <c r="Q34" s="257">
        <f t="shared" si="26"/>
        <v>2000000</v>
      </c>
      <c r="R34" s="366"/>
      <c r="S34" s="257">
        <f t="shared" si="27"/>
        <v>2000000</v>
      </c>
      <c r="T34" s="169"/>
    </row>
    <row r="35" spans="1:23" ht="15.75" customHeight="1" x14ac:dyDescent="0.25">
      <c r="A35" s="171"/>
      <c r="B35" s="300"/>
      <c r="C35" s="164"/>
      <c r="D35" s="365" t="s">
        <v>8</v>
      </c>
      <c r="E35" s="162"/>
      <c r="F35" s="160"/>
      <c r="G35" s="257">
        <v>0</v>
      </c>
      <c r="H35" s="285"/>
      <c r="I35" s="286"/>
      <c r="J35" s="263">
        <v>0</v>
      </c>
      <c r="K35" s="287"/>
      <c r="L35" s="257">
        <f t="shared" si="25"/>
        <v>0</v>
      </c>
      <c r="M35" s="262"/>
      <c r="N35" s="256"/>
      <c r="O35" s="257">
        <v>5000000</v>
      </c>
      <c r="P35" s="366"/>
      <c r="Q35" s="257">
        <f t="shared" si="26"/>
        <v>5000000</v>
      </c>
      <c r="R35" s="366"/>
      <c r="S35" s="257">
        <f t="shared" si="27"/>
        <v>5000000</v>
      </c>
      <c r="T35" s="169"/>
      <c r="W35" s="372"/>
    </row>
    <row r="36" spans="1:23" ht="15.75" customHeight="1" x14ac:dyDescent="0.25">
      <c r="A36" s="171"/>
      <c r="B36" s="300"/>
      <c r="C36" s="164"/>
      <c r="D36" s="365" t="s">
        <v>238</v>
      </c>
      <c r="E36" s="162"/>
      <c r="F36" s="160"/>
      <c r="G36" s="257">
        <v>0</v>
      </c>
      <c r="H36" s="285"/>
      <c r="I36" s="286"/>
      <c r="J36" s="263">
        <v>0</v>
      </c>
      <c r="K36" s="287"/>
      <c r="L36" s="257">
        <f t="shared" si="25"/>
        <v>0</v>
      </c>
      <c r="M36" s="262"/>
      <c r="N36" s="256"/>
      <c r="O36" s="257">
        <v>850000</v>
      </c>
      <c r="P36" s="366"/>
      <c r="Q36" s="257">
        <f t="shared" si="26"/>
        <v>850000</v>
      </c>
      <c r="R36" s="366"/>
      <c r="S36" s="257">
        <f t="shared" si="27"/>
        <v>850000</v>
      </c>
      <c r="T36" s="169"/>
    </row>
    <row r="37" spans="1:23" ht="15.75" customHeight="1" x14ac:dyDescent="0.25">
      <c r="A37" s="171"/>
      <c r="B37" s="300"/>
      <c r="C37" s="164"/>
      <c r="D37" s="365" t="s">
        <v>212</v>
      </c>
      <c r="E37" s="162"/>
      <c r="F37" s="160"/>
      <c r="G37" s="257">
        <v>0</v>
      </c>
      <c r="H37" s="285"/>
      <c r="I37" s="286"/>
      <c r="J37" s="263">
        <v>0</v>
      </c>
      <c r="K37" s="287"/>
      <c r="L37" s="257">
        <f t="shared" si="25"/>
        <v>0</v>
      </c>
      <c r="M37" s="262"/>
      <c r="N37" s="256"/>
      <c r="O37" s="257">
        <v>1500000</v>
      </c>
      <c r="P37" s="366"/>
      <c r="Q37" s="257">
        <f t="shared" si="26"/>
        <v>1500000</v>
      </c>
      <c r="R37" s="366"/>
      <c r="S37" s="257">
        <f t="shared" si="27"/>
        <v>1500000</v>
      </c>
      <c r="T37" s="169"/>
    </row>
    <row r="38" spans="1:23" ht="15.75" hidden="1" customHeight="1" x14ac:dyDescent="0.25">
      <c r="A38" s="171"/>
      <c r="B38" s="300"/>
      <c r="C38" s="164"/>
      <c r="D38" s="365"/>
      <c r="E38" s="162"/>
      <c r="F38" s="160"/>
      <c r="G38" s="257">
        <v>0</v>
      </c>
      <c r="H38" s="285"/>
      <c r="I38" s="286"/>
      <c r="J38" s="263">
        <v>0</v>
      </c>
      <c r="K38" s="287"/>
      <c r="L38" s="257">
        <f t="shared" si="25"/>
        <v>0</v>
      </c>
      <c r="M38" s="262"/>
      <c r="N38" s="256"/>
      <c r="O38" s="257">
        <v>0</v>
      </c>
      <c r="P38" s="366"/>
      <c r="Q38" s="257">
        <f t="shared" si="26"/>
        <v>0</v>
      </c>
      <c r="R38" s="366"/>
      <c r="S38" s="257">
        <f t="shared" si="27"/>
        <v>0</v>
      </c>
      <c r="T38" s="169"/>
    </row>
    <row r="39" spans="1:23" ht="15.75" hidden="1" customHeight="1" x14ac:dyDescent="0.25">
      <c r="A39" s="171"/>
      <c r="B39" s="300"/>
      <c r="C39" s="164"/>
      <c r="D39" s="365"/>
      <c r="E39" s="162"/>
      <c r="F39" s="160"/>
      <c r="G39" s="257">
        <v>0</v>
      </c>
      <c r="H39" s="285"/>
      <c r="I39" s="286"/>
      <c r="J39" s="263">
        <v>0</v>
      </c>
      <c r="K39" s="287"/>
      <c r="L39" s="257">
        <f t="shared" si="25"/>
        <v>0</v>
      </c>
      <c r="M39" s="262"/>
      <c r="N39" s="256"/>
      <c r="O39" s="257">
        <v>0</v>
      </c>
      <c r="P39" s="366"/>
      <c r="Q39" s="257">
        <f t="shared" si="26"/>
        <v>0</v>
      </c>
      <c r="R39" s="366"/>
      <c r="S39" s="257">
        <f t="shared" si="27"/>
        <v>0</v>
      </c>
      <c r="T39" s="169"/>
    </row>
    <row r="40" spans="1:23" ht="15.75" hidden="1" customHeight="1" x14ac:dyDescent="0.25">
      <c r="A40" s="171"/>
      <c r="B40" s="300"/>
      <c r="C40" s="164"/>
      <c r="D40" s="365"/>
      <c r="E40" s="162"/>
      <c r="F40" s="160"/>
      <c r="G40" s="257">
        <v>0</v>
      </c>
      <c r="H40" s="285"/>
      <c r="I40" s="286"/>
      <c r="J40" s="263">
        <v>0</v>
      </c>
      <c r="K40" s="287"/>
      <c r="L40" s="257">
        <f t="shared" si="25"/>
        <v>0</v>
      </c>
      <c r="M40" s="262"/>
      <c r="N40" s="256"/>
      <c r="O40" s="257">
        <v>0</v>
      </c>
      <c r="P40" s="366"/>
      <c r="Q40" s="257">
        <f t="shared" si="26"/>
        <v>0</v>
      </c>
      <c r="R40" s="366"/>
      <c r="S40" s="257">
        <f t="shared" si="27"/>
        <v>0</v>
      </c>
      <c r="T40" s="169"/>
    </row>
    <row r="41" spans="1:23" ht="15.75" hidden="1" customHeight="1" x14ac:dyDescent="0.25">
      <c r="A41" s="171"/>
      <c r="B41" s="300"/>
      <c r="C41" s="164"/>
      <c r="D41" s="365"/>
      <c r="E41" s="162"/>
      <c r="F41" s="160"/>
      <c r="G41" s="257">
        <v>0</v>
      </c>
      <c r="H41" s="285"/>
      <c r="I41" s="286"/>
      <c r="J41" s="263">
        <v>0</v>
      </c>
      <c r="K41" s="287"/>
      <c r="L41" s="257">
        <f t="shared" si="25"/>
        <v>0</v>
      </c>
      <c r="M41" s="262"/>
      <c r="N41" s="256"/>
      <c r="O41" s="257">
        <v>0</v>
      </c>
      <c r="P41" s="366"/>
      <c r="Q41" s="257">
        <f t="shared" si="26"/>
        <v>0</v>
      </c>
      <c r="R41" s="366"/>
      <c r="S41" s="257">
        <f t="shared" si="27"/>
        <v>0</v>
      </c>
      <c r="T41" s="169"/>
    </row>
    <row r="42" spans="1:23" ht="15.75" hidden="1" customHeight="1" x14ac:dyDescent="0.25">
      <c r="A42" s="171"/>
      <c r="B42" s="300"/>
      <c r="C42" s="164"/>
      <c r="D42" s="365"/>
      <c r="E42" s="162"/>
      <c r="F42" s="160"/>
      <c r="G42" s="257">
        <v>0</v>
      </c>
      <c r="H42" s="285"/>
      <c r="I42" s="286"/>
      <c r="J42" s="263">
        <v>0</v>
      </c>
      <c r="K42" s="287"/>
      <c r="L42" s="257">
        <f t="shared" si="25"/>
        <v>0</v>
      </c>
      <c r="M42" s="262"/>
      <c r="N42" s="256"/>
      <c r="O42" s="257">
        <v>0</v>
      </c>
      <c r="P42" s="366"/>
      <c r="Q42" s="257">
        <f t="shared" si="26"/>
        <v>0</v>
      </c>
      <c r="R42" s="366"/>
      <c r="S42" s="257">
        <f t="shared" si="27"/>
        <v>0</v>
      </c>
      <c r="T42" s="169"/>
    </row>
    <row r="43" spans="1:23" ht="15.75" hidden="1" customHeight="1" x14ac:dyDescent="0.25">
      <c r="A43" s="171"/>
      <c r="B43" s="300"/>
      <c r="C43" s="164"/>
      <c r="D43" s="365"/>
      <c r="E43" s="162"/>
      <c r="F43" s="160"/>
      <c r="G43" s="257">
        <v>0</v>
      </c>
      <c r="H43" s="285"/>
      <c r="I43" s="286"/>
      <c r="J43" s="263">
        <v>0</v>
      </c>
      <c r="K43" s="287"/>
      <c r="L43" s="257">
        <f t="shared" si="25"/>
        <v>0</v>
      </c>
      <c r="M43" s="262"/>
      <c r="N43" s="256"/>
      <c r="O43" s="257">
        <v>0</v>
      </c>
      <c r="P43" s="366"/>
      <c r="Q43" s="257">
        <f t="shared" si="26"/>
        <v>0</v>
      </c>
      <c r="R43" s="366"/>
      <c r="S43" s="257">
        <f t="shared" si="27"/>
        <v>0</v>
      </c>
      <c r="T43" s="169"/>
    </row>
    <row r="44" spans="1:23" ht="15.75" hidden="1" customHeight="1" x14ac:dyDescent="0.25">
      <c r="A44" s="171"/>
      <c r="B44" s="300"/>
      <c r="C44" s="164"/>
      <c r="D44" s="365"/>
      <c r="E44" s="162"/>
      <c r="F44" s="160"/>
      <c r="G44" s="257">
        <v>0</v>
      </c>
      <c r="H44" s="285"/>
      <c r="I44" s="286"/>
      <c r="J44" s="263">
        <v>0</v>
      </c>
      <c r="K44" s="287"/>
      <c r="L44" s="257">
        <f t="shared" si="25"/>
        <v>0</v>
      </c>
      <c r="M44" s="262"/>
      <c r="N44" s="256"/>
      <c r="O44" s="257">
        <v>0</v>
      </c>
      <c r="P44" s="366"/>
      <c r="Q44" s="257">
        <f t="shared" si="26"/>
        <v>0</v>
      </c>
      <c r="R44" s="366"/>
      <c r="S44" s="257">
        <f t="shared" si="27"/>
        <v>0</v>
      </c>
      <c r="T44" s="169"/>
    </row>
    <row r="45" spans="1:23" ht="15.75" hidden="1" customHeight="1" x14ac:dyDescent="0.25">
      <c r="A45" s="171"/>
      <c r="B45" s="300"/>
      <c r="C45" s="164"/>
      <c r="D45" s="365"/>
      <c r="E45" s="162"/>
      <c r="F45" s="160"/>
      <c r="G45" s="257">
        <v>0</v>
      </c>
      <c r="H45" s="285"/>
      <c r="I45" s="286"/>
      <c r="J45" s="263">
        <v>0</v>
      </c>
      <c r="K45" s="287"/>
      <c r="L45" s="257">
        <f t="shared" ref="L45" si="31">SUM(J45)-SUM(G45)</f>
        <v>0</v>
      </c>
      <c r="M45" s="262"/>
      <c r="N45" s="256"/>
      <c r="O45" s="257">
        <v>0</v>
      </c>
      <c r="P45" s="366"/>
      <c r="Q45" s="257">
        <f t="shared" ref="Q45" si="32">+O45-J45</f>
        <v>0</v>
      </c>
      <c r="R45" s="366"/>
      <c r="S45" s="257">
        <f t="shared" ref="S45" si="33">+O45-G45</f>
        <v>0</v>
      </c>
      <c r="T45" s="169"/>
    </row>
    <row r="46" spans="1:23" ht="15.75" hidden="1" customHeight="1" x14ac:dyDescent="0.25">
      <c r="A46" s="171"/>
      <c r="B46" s="300"/>
      <c r="C46" s="164"/>
      <c r="D46" s="365"/>
      <c r="E46" s="162"/>
      <c r="F46" s="160"/>
      <c r="G46" s="257">
        <v>0</v>
      </c>
      <c r="H46" s="285"/>
      <c r="I46" s="286"/>
      <c r="J46" s="263">
        <v>0</v>
      </c>
      <c r="K46" s="287"/>
      <c r="L46" s="257">
        <f t="shared" si="25"/>
        <v>0</v>
      </c>
      <c r="M46" s="262"/>
      <c r="N46" s="256"/>
      <c r="O46" s="257">
        <v>0</v>
      </c>
      <c r="P46" s="366"/>
      <c r="Q46" s="257">
        <f t="shared" si="26"/>
        <v>0</v>
      </c>
      <c r="R46" s="366"/>
      <c r="S46" s="257">
        <f t="shared" si="27"/>
        <v>0</v>
      </c>
      <c r="T46" s="169"/>
    </row>
    <row r="47" spans="1:23" ht="15.75" hidden="1" customHeight="1" x14ac:dyDescent="0.25">
      <c r="A47" s="171"/>
      <c r="B47" s="300"/>
      <c r="C47" s="164"/>
      <c r="D47" s="365"/>
      <c r="E47" s="162"/>
      <c r="F47" s="160"/>
      <c r="G47" s="257">
        <v>0</v>
      </c>
      <c r="H47" s="285"/>
      <c r="I47" s="286"/>
      <c r="J47" s="263">
        <v>0</v>
      </c>
      <c r="K47" s="287"/>
      <c r="L47" s="257">
        <f t="shared" si="25"/>
        <v>0</v>
      </c>
      <c r="M47" s="262"/>
      <c r="N47" s="256"/>
      <c r="O47" s="257">
        <v>0</v>
      </c>
      <c r="P47" s="366"/>
      <c r="Q47" s="257">
        <f t="shared" si="26"/>
        <v>0</v>
      </c>
      <c r="R47" s="366"/>
      <c r="S47" s="257">
        <f t="shared" si="27"/>
        <v>0</v>
      </c>
      <c r="T47" s="169"/>
      <c r="W47" s="372"/>
    </row>
    <row r="48" spans="1:23" ht="15.75" hidden="1" customHeight="1" x14ac:dyDescent="0.25">
      <c r="A48" s="171"/>
      <c r="B48" s="300"/>
      <c r="C48" s="164"/>
      <c r="D48" s="365"/>
      <c r="E48" s="162"/>
      <c r="F48" s="160"/>
      <c r="G48" s="257">
        <v>0</v>
      </c>
      <c r="H48" s="285"/>
      <c r="I48" s="286"/>
      <c r="J48" s="263">
        <v>0</v>
      </c>
      <c r="K48" s="287"/>
      <c r="L48" s="257">
        <f t="shared" si="25"/>
        <v>0</v>
      </c>
      <c r="M48" s="262"/>
      <c r="N48" s="256"/>
      <c r="O48" s="257">
        <v>0</v>
      </c>
      <c r="P48" s="366"/>
      <c r="Q48" s="257">
        <f t="shared" si="26"/>
        <v>0</v>
      </c>
      <c r="R48" s="366"/>
      <c r="S48" s="257">
        <f t="shared" si="27"/>
        <v>0</v>
      </c>
      <c r="T48" s="169"/>
    </row>
    <row r="49" spans="1:25" ht="15.75" hidden="1" customHeight="1" x14ac:dyDescent="0.25">
      <c r="A49" s="171"/>
      <c r="B49" s="300"/>
      <c r="C49" s="164"/>
      <c r="D49" s="365"/>
      <c r="E49" s="162"/>
      <c r="F49" s="160"/>
      <c r="G49" s="257">
        <v>0</v>
      </c>
      <c r="H49" s="285"/>
      <c r="I49" s="286"/>
      <c r="J49" s="263">
        <v>0</v>
      </c>
      <c r="K49" s="287"/>
      <c r="L49" s="257">
        <f t="shared" ref="L49" si="34">SUM(J49)-SUM(G49)</f>
        <v>0</v>
      </c>
      <c r="M49" s="262"/>
      <c r="N49" s="256"/>
      <c r="O49" s="257">
        <v>0</v>
      </c>
      <c r="P49" s="366"/>
      <c r="Q49" s="257">
        <f t="shared" ref="Q49" si="35">+O49-J49</f>
        <v>0</v>
      </c>
      <c r="R49" s="366"/>
      <c r="S49" s="257">
        <f t="shared" ref="S49" si="36">+O49-G49</f>
        <v>0</v>
      </c>
      <c r="T49" s="169"/>
    </row>
    <row r="50" spans="1:25" ht="15.75" hidden="1" customHeight="1" x14ac:dyDescent="0.25">
      <c r="A50" s="171"/>
      <c r="B50" s="300"/>
      <c r="C50" s="164"/>
      <c r="D50" s="365"/>
      <c r="E50" s="162"/>
      <c r="F50" s="160"/>
      <c r="G50" s="257">
        <v>0</v>
      </c>
      <c r="H50" s="285"/>
      <c r="I50" s="286"/>
      <c r="J50" s="263">
        <v>0</v>
      </c>
      <c r="K50" s="287"/>
      <c r="L50" s="257">
        <f t="shared" si="25"/>
        <v>0</v>
      </c>
      <c r="M50" s="262"/>
      <c r="N50" s="256"/>
      <c r="O50" s="257">
        <v>0</v>
      </c>
      <c r="P50" s="366"/>
      <c r="Q50" s="257">
        <f t="shared" si="26"/>
        <v>0</v>
      </c>
      <c r="R50" s="366"/>
      <c r="S50" s="257">
        <f t="shared" si="27"/>
        <v>0</v>
      </c>
      <c r="T50" s="169"/>
    </row>
    <row r="51" spans="1:25" ht="15.75" hidden="1" customHeight="1" x14ac:dyDescent="0.25">
      <c r="A51" s="171"/>
      <c r="B51" s="300"/>
      <c r="C51" s="164"/>
      <c r="D51" s="365"/>
      <c r="E51" s="162"/>
      <c r="F51" s="160"/>
      <c r="G51" s="257">
        <v>0</v>
      </c>
      <c r="H51" s="285"/>
      <c r="I51" s="286"/>
      <c r="J51" s="263">
        <v>0</v>
      </c>
      <c r="K51" s="287"/>
      <c r="L51" s="257">
        <f t="shared" ref="L51" si="37">SUM(J51)-SUM(G51)</f>
        <v>0</v>
      </c>
      <c r="M51" s="262"/>
      <c r="N51" s="256"/>
      <c r="O51" s="257">
        <v>0</v>
      </c>
      <c r="P51" s="366"/>
      <c r="Q51" s="257">
        <f t="shared" ref="Q51" si="38">+O51-J51</f>
        <v>0</v>
      </c>
      <c r="R51" s="366"/>
      <c r="S51" s="257">
        <f t="shared" ref="S51" si="39">+O51-G51</f>
        <v>0</v>
      </c>
      <c r="T51" s="169"/>
    </row>
    <row r="52" spans="1:25" ht="15.75" hidden="1" customHeight="1" x14ac:dyDescent="0.25">
      <c r="A52" s="171"/>
      <c r="B52" s="300"/>
      <c r="C52" s="164"/>
      <c r="D52" s="365"/>
      <c r="E52" s="162"/>
      <c r="F52" s="160"/>
      <c r="G52" s="257">
        <v>0</v>
      </c>
      <c r="H52" s="285"/>
      <c r="I52" s="286"/>
      <c r="J52" s="263">
        <v>0</v>
      </c>
      <c r="K52" s="287"/>
      <c r="L52" s="257">
        <f t="shared" si="25"/>
        <v>0</v>
      </c>
      <c r="M52" s="262"/>
      <c r="N52" s="256"/>
      <c r="O52" s="257">
        <v>0</v>
      </c>
      <c r="P52" s="366"/>
      <c r="Q52" s="257">
        <f t="shared" si="26"/>
        <v>0</v>
      </c>
      <c r="R52" s="366"/>
      <c r="S52" s="257">
        <f t="shared" si="27"/>
        <v>0</v>
      </c>
      <c r="T52" s="169"/>
    </row>
    <row r="53" spans="1:25" s="288" customFormat="1" ht="15.75" customHeight="1" x14ac:dyDescent="0.25">
      <c r="A53" s="182"/>
      <c r="B53" s="303"/>
      <c r="C53" s="304"/>
      <c r="D53" s="183"/>
      <c r="E53" s="185"/>
      <c r="F53" s="160"/>
      <c r="G53" s="177"/>
      <c r="H53" s="162"/>
      <c r="I53" s="251"/>
      <c r="J53" s="251"/>
      <c r="K53" s="251"/>
      <c r="L53" s="168"/>
      <c r="M53" s="162"/>
      <c r="N53" s="268"/>
      <c r="O53" s="305"/>
      <c r="P53" s="305"/>
      <c r="Q53" s="306"/>
      <c r="R53" s="306"/>
      <c r="S53" s="306"/>
      <c r="T53" s="207"/>
      <c r="Y53" s="289"/>
    </row>
    <row r="54" spans="1:25" s="288" customFormat="1" ht="15.75" customHeight="1" x14ac:dyDescent="0.25">
      <c r="A54" s="178"/>
      <c r="B54" s="179"/>
      <c r="C54" s="179"/>
      <c r="D54" s="180"/>
      <c r="E54" s="181"/>
      <c r="F54" s="178"/>
      <c r="G54" s="180"/>
      <c r="H54" s="181"/>
      <c r="I54" s="178"/>
      <c r="J54" s="180"/>
      <c r="K54" s="180"/>
      <c r="L54" s="180"/>
      <c r="M54" s="181"/>
      <c r="N54" s="170"/>
      <c r="O54" s="264"/>
      <c r="P54" s="264"/>
      <c r="Q54" s="264"/>
      <c r="R54" s="264"/>
      <c r="S54" s="264"/>
      <c r="T54" s="172"/>
      <c r="Y54" s="289"/>
    </row>
    <row r="55" spans="1:25" s="288" customFormat="1" ht="15.75" customHeight="1" x14ac:dyDescent="0.25">
      <c r="A55" s="171"/>
      <c r="B55" s="170" t="s">
        <v>176</v>
      </c>
      <c r="C55" s="170"/>
      <c r="D55" s="170"/>
      <c r="E55" s="172"/>
      <c r="F55" s="171"/>
      <c r="G55" s="261">
        <f>+G23+G18+G13+G26+G9</f>
        <v>113967800</v>
      </c>
      <c r="H55" s="172"/>
      <c r="I55" s="171"/>
      <c r="J55" s="261">
        <f>+J23+J18+J13+J26+J9</f>
        <v>120967800</v>
      </c>
      <c r="K55" s="170"/>
      <c r="L55" s="173">
        <f t="shared" ref="L55" si="40">SUM(J55)-SUM(G55)</f>
        <v>7000000</v>
      </c>
      <c r="M55" s="172"/>
      <c r="N55" s="174"/>
      <c r="O55" s="261">
        <f>+O23+O18+O13+O26+O9</f>
        <v>124001100</v>
      </c>
      <c r="P55" s="367"/>
      <c r="Q55" s="173">
        <f>+O55-J55</f>
        <v>3033300</v>
      </c>
      <c r="R55" s="174"/>
      <c r="S55" s="173">
        <f>+O55-G55</f>
        <v>10033300</v>
      </c>
      <c r="T55" s="175"/>
      <c r="Y55" s="289"/>
    </row>
    <row r="56" spans="1:25" ht="15.75" customHeight="1" x14ac:dyDescent="0.25">
      <c r="A56" s="171"/>
      <c r="B56" s="170"/>
      <c r="C56" s="251" t="s">
        <v>177</v>
      </c>
      <c r="D56" s="170"/>
      <c r="E56" s="172"/>
      <c r="F56" s="171"/>
      <c r="G56" s="307">
        <f>+G55/$U$1</f>
        <v>8.730363006875648E-2</v>
      </c>
      <c r="H56" s="172"/>
      <c r="I56" s="171"/>
      <c r="J56" s="307">
        <f>+J55/$U$1</f>
        <v>9.2665893887846573E-2</v>
      </c>
      <c r="K56" s="170"/>
      <c r="L56" s="307">
        <f>+L55/$U$1</f>
        <v>5.3622638190900882E-3</v>
      </c>
      <c r="M56" s="172"/>
      <c r="N56" s="174"/>
      <c r="O56" s="307">
        <f>+O55/$U$1</f>
        <v>9.4989516008195996E-2</v>
      </c>
      <c r="P56" s="369"/>
      <c r="Q56" s="307">
        <f>+Q55/U1</f>
        <v>2.3236221203494236E-3</v>
      </c>
      <c r="R56" s="173"/>
      <c r="S56" s="307">
        <f>+S55/U1</f>
        <v>7.6858859394395114E-3</v>
      </c>
      <c r="T56" s="175"/>
    </row>
    <row r="57" spans="1:25" ht="15.75" customHeight="1" x14ac:dyDescent="0.25">
      <c r="A57" s="182"/>
      <c r="B57" s="183"/>
      <c r="C57" s="183"/>
      <c r="D57" s="183"/>
      <c r="E57" s="185"/>
      <c r="F57" s="184"/>
      <c r="G57" s="183"/>
      <c r="H57" s="185"/>
      <c r="I57" s="184"/>
      <c r="J57" s="183"/>
      <c r="K57" s="183"/>
      <c r="L57" s="183"/>
      <c r="M57" s="185"/>
      <c r="N57" s="183"/>
      <c r="O57" s="265"/>
      <c r="P57" s="265"/>
      <c r="Q57" s="265"/>
      <c r="R57" s="265"/>
      <c r="S57" s="265"/>
      <c r="T57" s="185"/>
    </row>
    <row r="58" spans="1:25" s="300" customFormat="1" ht="15.75" customHeight="1" x14ac:dyDescent="0.25">
      <c r="A58" s="178"/>
      <c r="B58" s="186"/>
      <c r="C58" s="186"/>
      <c r="D58" s="186"/>
      <c r="E58" s="186"/>
      <c r="F58" s="187"/>
      <c r="G58" s="186"/>
      <c r="H58" s="186"/>
      <c r="I58" s="187"/>
      <c r="J58" s="186"/>
      <c r="K58" s="186"/>
      <c r="L58" s="186"/>
      <c r="M58" s="188"/>
      <c r="N58" s="187"/>
      <c r="O58" s="266"/>
      <c r="P58" s="266"/>
      <c r="Q58" s="266"/>
      <c r="R58" s="266"/>
      <c r="S58" s="266"/>
      <c r="T58" s="188"/>
      <c r="U58" s="371"/>
      <c r="V58" s="371"/>
      <c r="W58" s="371"/>
      <c r="X58" s="371"/>
    </row>
    <row r="59" spans="1:25" ht="15.75" customHeight="1" x14ac:dyDescent="0.25">
      <c r="A59" s="171"/>
      <c r="B59" s="163" t="s">
        <v>100</v>
      </c>
      <c r="C59" s="300"/>
      <c r="D59" s="251"/>
      <c r="E59" s="162"/>
      <c r="F59" s="160"/>
      <c r="G59" s="173"/>
      <c r="H59" s="162"/>
      <c r="I59" s="160"/>
      <c r="J59" s="173"/>
      <c r="K59" s="251"/>
      <c r="L59" s="260"/>
      <c r="M59" s="162"/>
      <c r="N59" s="160"/>
      <c r="O59" s="368"/>
      <c r="P59" s="213"/>
      <c r="Q59" s="368"/>
      <c r="R59" s="213"/>
      <c r="S59" s="368"/>
      <c r="T59" s="162"/>
    </row>
    <row r="60" spans="1:25" ht="15.75" customHeight="1" x14ac:dyDescent="0.25">
      <c r="A60" s="171"/>
      <c r="B60" s="251"/>
      <c r="C60" s="365" t="s">
        <v>216</v>
      </c>
      <c r="D60" s="166"/>
      <c r="E60" s="162"/>
      <c r="F60" s="160"/>
      <c r="G60" s="257">
        <v>5000000</v>
      </c>
      <c r="H60" s="255"/>
      <c r="I60" s="256"/>
      <c r="J60" s="257">
        <v>5000000</v>
      </c>
      <c r="K60" s="282"/>
      <c r="L60" s="257">
        <f t="shared" ref="L60:L63" si="41">SUM(J60)-SUM(G60)</f>
        <v>0</v>
      </c>
      <c r="M60" s="255"/>
      <c r="N60" s="308"/>
      <c r="O60" s="257">
        <v>5000000</v>
      </c>
      <c r="P60" s="257"/>
      <c r="Q60" s="257">
        <f t="shared" ref="Q60:Q61" si="42">+O60-J60</f>
        <v>0</v>
      </c>
      <c r="R60" s="257"/>
      <c r="S60" s="257">
        <f t="shared" ref="S60:S61" si="43">+O60-G60</f>
        <v>0</v>
      </c>
      <c r="T60" s="162"/>
    </row>
    <row r="61" spans="1:25" s="309" customFormat="1" ht="15.75" customHeight="1" x14ac:dyDescent="0.25">
      <c r="A61" s="160"/>
      <c r="B61" s="251"/>
      <c r="C61" s="164" t="s">
        <v>219</v>
      </c>
      <c r="D61" s="166"/>
      <c r="E61" s="162"/>
      <c r="F61" s="160"/>
      <c r="G61" s="257">
        <v>5000000</v>
      </c>
      <c r="H61" s="255"/>
      <c r="I61" s="256"/>
      <c r="J61" s="257">
        <v>0</v>
      </c>
      <c r="K61" s="282"/>
      <c r="L61" s="257">
        <f t="shared" si="41"/>
        <v>-5000000</v>
      </c>
      <c r="M61" s="255"/>
      <c r="N61" s="308"/>
      <c r="O61" s="257">
        <v>5000000</v>
      </c>
      <c r="P61" s="257"/>
      <c r="Q61" s="257">
        <f t="shared" si="42"/>
        <v>5000000</v>
      </c>
      <c r="R61" s="257"/>
      <c r="S61" s="257">
        <f t="shared" si="43"/>
        <v>0</v>
      </c>
      <c r="T61" s="162"/>
      <c r="U61" s="288"/>
      <c r="V61" s="288"/>
      <c r="W61" s="288"/>
      <c r="X61" s="288"/>
    </row>
    <row r="62" spans="1:25" s="309" customFormat="1" ht="15.75" customHeight="1" x14ac:dyDescent="0.25">
      <c r="A62" s="160"/>
      <c r="B62" s="251"/>
      <c r="C62" s="365" t="s">
        <v>220</v>
      </c>
      <c r="D62" s="166"/>
      <c r="E62" s="162"/>
      <c r="F62" s="160"/>
      <c r="G62" s="257">
        <v>3500000</v>
      </c>
      <c r="H62" s="255"/>
      <c r="I62" s="256"/>
      <c r="J62" s="257">
        <v>0</v>
      </c>
      <c r="K62" s="282"/>
      <c r="L62" s="257">
        <f t="shared" si="41"/>
        <v>-3500000</v>
      </c>
      <c r="M62" s="255"/>
      <c r="N62" s="308"/>
      <c r="O62" s="257">
        <v>3500000</v>
      </c>
      <c r="P62" s="257"/>
      <c r="Q62" s="257">
        <f t="shared" ref="Q62:Q63" si="44">+O62-J62</f>
        <v>3500000</v>
      </c>
      <c r="R62" s="257"/>
      <c r="S62" s="257">
        <f t="shared" ref="S62:S63" si="45">+O62-G62</f>
        <v>0</v>
      </c>
      <c r="T62" s="162"/>
      <c r="U62" s="288"/>
      <c r="V62" s="288"/>
      <c r="W62" s="288"/>
      <c r="X62" s="288"/>
    </row>
    <row r="63" spans="1:25" s="309" customFormat="1" ht="15.75" customHeight="1" x14ac:dyDescent="0.25">
      <c r="A63" s="160"/>
      <c r="B63" s="251"/>
      <c r="C63" s="365" t="s">
        <v>221</v>
      </c>
      <c r="D63" s="166"/>
      <c r="E63" s="162"/>
      <c r="F63" s="160"/>
      <c r="G63" s="257">
        <v>0</v>
      </c>
      <c r="H63" s="255"/>
      <c r="I63" s="256"/>
      <c r="J63" s="257">
        <v>4000000</v>
      </c>
      <c r="K63" s="282"/>
      <c r="L63" s="257">
        <f t="shared" si="41"/>
        <v>4000000</v>
      </c>
      <c r="M63" s="255"/>
      <c r="N63" s="308"/>
      <c r="O63" s="257">
        <v>0</v>
      </c>
      <c r="P63" s="257"/>
      <c r="Q63" s="257">
        <f t="shared" si="44"/>
        <v>-4000000</v>
      </c>
      <c r="R63" s="257"/>
      <c r="S63" s="257">
        <f t="shared" si="45"/>
        <v>0</v>
      </c>
      <c r="T63" s="162"/>
      <c r="U63" s="288"/>
      <c r="V63" s="288"/>
      <c r="W63" s="288"/>
      <c r="X63" s="288"/>
    </row>
    <row r="64" spans="1:25" s="309" customFormat="1" ht="15.75" customHeight="1" x14ac:dyDescent="0.25">
      <c r="A64" s="160"/>
      <c r="B64" s="251"/>
      <c r="C64" s="365" t="s">
        <v>222</v>
      </c>
      <c r="D64" s="166"/>
      <c r="E64" s="162"/>
      <c r="F64" s="160"/>
      <c r="G64" s="257">
        <v>0</v>
      </c>
      <c r="H64" s="255"/>
      <c r="I64" s="256"/>
      <c r="J64" s="257">
        <v>2775000</v>
      </c>
      <c r="K64" s="282"/>
      <c r="L64" s="257">
        <f t="shared" ref="L64:L87" si="46">SUM(J64)-SUM(G64)</f>
        <v>2775000</v>
      </c>
      <c r="M64" s="255"/>
      <c r="N64" s="308"/>
      <c r="O64" s="257">
        <v>1500000</v>
      </c>
      <c r="P64" s="257"/>
      <c r="Q64" s="257">
        <f t="shared" ref="Q64:Q87" si="47">+O64-J64</f>
        <v>-1275000</v>
      </c>
      <c r="R64" s="257"/>
      <c r="S64" s="257">
        <f t="shared" ref="S64:S87" si="48">+O64-G64</f>
        <v>1500000</v>
      </c>
      <c r="T64" s="162"/>
      <c r="U64" s="288"/>
      <c r="V64" s="288"/>
      <c r="W64" s="288"/>
      <c r="X64" s="288"/>
    </row>
    <row r="65" spans="1:24" s="309" customFormat="1" ht="15.75" customHeight="1" x14ac:dyDescent="0.25">
      <c r="A65" s="160"/>
      <c r="B65" s="251"/>
      <c r="C65" s="365" t="s">
        <v>223</v>
      </c>
      <c r="D65" s="166"/>
      <c r="E65" s="162"/>
      <c r="F65" s="160"/>
      <c r="G65" s="257">
        <v>0</v>
      </c>
      <c r="H65" s="255"/>
      <c r="I65" s="256"/>
      <c r="J65" s="257">
        <v>2000000</v>
      </c>
      <c r="K65" s="282"/>
      <c r="L65" s="257">
        <f t="shared" si="46"/>
        <v>2000000</v>
      </c>
      <c r="M65" s="255"/>
      <c r="N65" s="308"/>
      <c r="O65" s="257">
        <v>0</v>
      </c>
      <c r="P65" s="257"/>
      <c r="Q65" s="257">
        <f t="shared" si="47"/>
        <v>-2000000</v>
      </c>
      <c r="R65" s="257"/>
      <c r="S65" s="257">
        <f t="shared" si="48"/>
        <v>0</v>
      </c>
      <c r="T65" s="162"/>
      <c r="U65" s="288"/>
      <c r="V65" s="288"/>
      <c r="W65" s="288"/>
      <c r="X65" s="288"/>
    </row>
    <row r="66" spans="1:24" s="309" customFormat="1" ht="15.75" customHeight="1" x14ac:dyDescent="0.25">
      <c r="A66" s="160"/>
      <c r="B66" s="251"/>
      <c r="C66" s="365" t="s">
        <v>227</v>
      </c>
      <c r="D66" s="166"/>
      <c r="E66" s="162"/>
      <c r="F66" s="160"/>
      <c r="G66" s="257">
        <v>-5188700</v>
      </c>
      <c r="H66" s="255"/>
      <c r="I66" s="256"/>
      <c r="J66" s="257">
        <v>-5188700</v>
      </c>
      <c r="K66" s="282"/>
      <c r="L66" s="257">
        <f t="shared" si="46"/>
        <v>0</v>
      </c>
      <c r="M66" s="255"/>
      <c r="N66" s="308"/>
      <c r="O66" s="257">
        <v>0</v>
      </c>
      <c r="P66" s="257"/>
      <c r="Q66" s="257">
        <f t="shared" si="47"/>
        <v>5188700</v>
      </c>
      <c r="R66" s="257"/>
      <c r="S66" s="257">
        <f t="shared" si="48"/>
        <v>5188700</v>
      </c>
      <c r="T66" s="162"/>
      <c r="U66" s="288"/>
      <c r="V66" s="288"/>
      <c r="W66" s="288"/>
      <c r="X66" s="288"/>
    </row>
    <row r="67" spans="1:24" s="309" customFormat="1" ht="15.75" customHeight="1" x14ac:dyDescent="0.25">
      <c r="A67" s="160"/>
      <c r="B67" s="251"/>
      <c r="C67" s="365" t="s">
        <v>239</v>
      </c>
      <c r="D67" s="166"/>
      <c r="E67" s="162"/>
      <c r="F67" s="160"/>
      <c r="G67" s="257">
        <v>0</v>
      </c>
      <c r="H67" s="255"/>
      <c r="I67" s="256"/>
      <c r="J67" s="257">
        <v>0</v>
      </c>
      <c r="K67" s="282"/>
      <c r="L67" s="257">
        <f t="shared" si="46"/>
        <v>0</v>
      </c>
      <c r="M67" s="255"/>
      <c r="N67" s="308"/>
      <c r="O67" s="257">
        <v>-198500</v>
      </c>
      <c r="P67" s="257"/>
      <c r="Q67" s="257">
        <f t="shared" si="47"/>
        <v>-198500</v>
      </c>
      <c r="R67" s="257"/>
      <c r="S67" s="257">
        <f t="shared" si="48"/>
        <v>-198500</v>
      </c>
      <c r="T67" s="162"/>
      <c r="U67" s="288"/>
      <c r="V67" s="288"/>
      <c r="W67" s="288"/>
      <c r="X67" s="288"/>
    </row>
    <row r="68" spans="1:24" s="309" customFormat="1" ht="15.75" customHeight="1" x14ac:dyDescent="0.25">
      <c r="A68" s="160"/>
      <c r="B68" s="251"/>
      <c r="C68" s="365" t="s">
        <v>183</v>
      </c>
      <c r="D68" s="166"/>
      <c r="E68" s="162"/>
      <c r="F68" s="160"/>
      <c r="G68" s="257">
        <v>0</v>
      </c>
      <c r="H68" s="255"/>
      <c r="I68" s="256"/>
      <c r="J68" s="257">
        <v>0</v>
      </c>
      <c r="K68" s="282"/>
      <c r="L68" s="257">
        <f t="shared" si="46"/>
        <v>0</v>
      </c>
      <c r="M68" s="255"/>
      <c r="N68" s="308"/>
      <c r="O68" s="257">
        <v>-51400</v>
      </c>
      <c r="P68" s="257"/>
      <c r="Q68" s="257">
        <f t="shared" si="47"/>
        <v>-51400</v>
      </c>
      <c r="R68" s="257"/>
      <c r="S68" s="257">
        <f t="shared" si="48"/>
        <v>-51400</v>
      </c>
      <c r="T68" s="162"/>
      <c r="U68" s="288"/>
      <c r="V68" s="288"/>
      <c r="W68" s="288"/>
      <c r="X68" s="288"/>
    </row>
    <row r="69" spans="1:24" s="309" customFormat="1" ht="15.75" customHeight="1" x14ac:dyDescent="0.25">
      <c r="A69" s="160"/>
      <c r="B69" s="251"/>
      <c r="C69" s="365" t="s">
        <v>159</v>
      </c>
      <c r="D69" s="166"/>
      <c r="E69" s="162"/>
      <c r="F69" s="160"/>
      <c r="G69" s="257">
        <v>0</v>
      </c>
      <c r="H69" s="255"/>
      <c r="I69" s="256"/>
      <c r="J69" s="257">
        <v>0</v>
      </c>
      <c r="K69" s="282"/>
      <c r="L69" s="257">
        <f t="shared" si="46"/>
        <v>0</v>
      </c>
      <c r="M69" s="255"/>
      <c r="N69" s="308"/>
      <c r="O69" s="257">
        <v>-631000</v>
      </c>
      <c r="P69" s="257"/>
      <c r="Q69" s="257">
        <f t="shared" si="47"/>
        <v>-631000</v>
      </c>
      <c r="R69" s="257"/>
      <c r="S69" s="257">
        <f t="shared" si="48"/>
        <v>-631000</v>
      </c>
      <c r="T69" s="162"/>
      <c r="U69" s="288"/>
      <c r="V69" s="288"/>
      <c r="W69" s="288"/>
      <c r="X69" s="288"/>
    </row>
    <row r="70" spans="1:24" s="309" customFormat="1" ht="15.75" customHeight="1" x14ac:dyDescent="0.25">
      <c r="A70" s="160"/>
      <c r="B70" s="251"/>
      <c r="C70" s="365" t="s">
        <v>240</v>
      </c>
      <c r="D70" s="166"/>
      <c r="E70" s="162"/>
      <c r="F70" s="160"/>
      <c r="G70" s="257">
        <v>0</v>
      </c>
      <c r="H70" s="255"/>
      <c r="I70" s="256"/>
      <c r="J70" s="257">
        <v>0</v>
      </c>
      <c r="K70" s="282"/>
      <c r="L70" s="257">
        <f t="shared" si="46"/>
        <v>0</v>
      </c>
      <c r="M70" s="255"/>
      <c r="N70" s="308"/>
      <c r="O70" s="257">
        <v>490000</v>
      </c>
      <c r="P70" s="257"/>
      <c r="Q70" s="257">
        <f t="shared" si="47"/>
        <v>490000</v>
      </c>
      <c r="R70" s="257"/>
      <c r="S70" s="257">
        <f t="shared" si="48"/>
        <v>490000</v>
      </c>
      <c r="T70" s="162"/>
      <c r="U70" s="288"/>
      <c r="V70" s="288"/>
      <c r="W70" s="288"/>
      <c r="X70" s="288"/>
    </row>
    <row r="71" spans="1:24" s="309" customFormat="1" ht="15.75" customHeight="1" x14ac:dyDescent="0.25">
      <c r="A71" s="160"/>
      <c r="B71" s="251"/>
      <c r="C71" s="365" t="s">
        <v>241</v>
      </c>
      <c r="D71" s="166"/>
      <c r="E71" s="162"/>
      <c r="F71" s="160"/>
      <c r="G71" s="257">
        <v>0</v>
      </c>
      <c r="H71" s="255"/>
      <c r="I71" s="256"/>
      <c r="J71" s="257">
        <v>0</v>
      </c>
      <c r="K71" s="282"/>
      <c r="L71" s="257">
        <f t="shared" si="46"/>
        <v>0</v>
      </c>
      <c r="M71" s="255"/>
      <c r="N71" s="308"/>
      <c r="O71" s="257">
        <v>15000000</v>
      </c>
      <c r="P71" s="257"/>
      <c r="Q71" s="257">
        <f t="shared" si="47"/>
        <v>15000000</v>
      </c>
      <c r="R71" s="257"/>
      <c r="S71" s="257">
        <f t="shared" si="48"/>
        <v>15000000</v>
      </c>
      <c r="T71" s="162"/>
      <c r="U71" s="288"/>
      <c r="V71" s="288"/>
      <c r="W71" s="288"/>
      <c r="X71" s="288"/>
    </row>
    <row r="72" spans="1:24" s="309" customFormat="1" ht="15.75" customHeight="1" x14ac:dyDescent="0.25">
      <c r="A72" s="160"/>
      <c r="B72" s="251"/>
      <c r="C72" s="365" t="s">
        <v>242</v>
      </c>
      <c r="D72" s="166"/>
      <c r="E72" s="162"/>
      <c r="F72" s="160"/>
      <c r="G72" s="257">
        <v>0</v>
      </c>
      <c r="H72" s="255"/>
      <c r="I72" s="256"/>
      <c r="J72" s="257">
        <v>0</v>
      </c>
      <c r="K72" s="282"/>
      <c r="L72" s="257">
        <f t="shared" si="46"/>
        <v>0</v>
      </c>
      <c r="M72" s="255"/>
      <c r="N72" s="308"/>
      <c r="O72" s="257">
        <v>500000</v>
      </c>
      <c r="P72" s="257"/>
      <c r="Q72" s="257">
        <f t="shared" si="47"/>
        <v>500000</v>
      </c>
      <c r="R72" s="257"/>
      <c r="S72" s="257">
        <f t="shared" si="48"/>
        <v>500000</v>
      </c>
      <c r="T72" s="162"/>
      <c r="U72" s="288"/>
      <c r="V72" s="288"/>
      <c r="W72" s="288"/>
      <c r="X72" s="288"/>
    </row>
    <row r="73" spans="1:24" s="309" customFormat="1" ht="15.75" customHeight="1" x14ac:dyDescent="0.25">
      <c r="A73" s="160"/>
      <c r="B73" s="251"/>
      <c r="C73" s="365" t="s">
        <v>243</v>
      </c>
      <c r="D73" s="166"/>
      <c r="E73" s="162"/>
      <c r="F73" s="160"/>
      <c r="G73" s="257">
        <v>0</v>
      </c>
      <c r="H73" s="255"/>
      <c r="I73" s="256"/>
      <c r="J73" s="257">
        <v>0</v>
      </c>
      <c r="K73" s="282"/>
      <c r="L73" s="257">
        <f t="shared" si="46"/>
        <v>0</v>
      </c>
      <c r="M73" s="255"/>
      <c r="N73" s="308"/>
      <c r="O73" s="257">
        <v>750000</v>
      </c>
      <c r="P73" s="257"/>
      <c r="Q73" s="257">
        <f t="shared" si="47"/>
        <v>750000</v>
      </c>
      <c r="R73" s="257"/>
      <c r="S73" s="257">
        <f t="shared" si="48"/>
        <v>750000</v>
      </c>
      <c r="T73" s="162"/>
      <c r="U73" s="288"/>
      <c r="V73" s="288"/>
      <c r="W73" s="288"/>
      <c r="X73" s="288"/>
    </row>
    <row r="74" spans="1:24" s="309" customFormat="1" ht="15.75" customHeight="1" x14ac:dyDescent="0.25">
      <c r="A74" s="160"/>
      <c r="B74" s="251"/>
      <c r="C74" s="365" t="s">
        <v>244</v>
      </c>
      <c r="D74" s="166"/>
      <c r="E74" s="162"/>
      <c r="F74" s="160"/>
      <c r="G74" s="257">
        <v>0</v>
      </c>
      <c r="H74" s="255"/>
      <c r="I74" s="256"/>
      <c r="J74" s="257">
        <v>0</v>
      </c>
      <c r="K74" s="282"/>
      <c r="L74" s="257">
        <f t="shared" si="46"/>
        <v>0</v>
      </c>
      <c r="M74" s="255"/>
      <c r="N74" s="308"/>
      <c r="O74" s="257">
        <v>135600</v>
      </c>
      <c r="P74" s="257"/>
      <c r="Q74" s="257">
        <f t="shared" si="47"/>
        <v>135600</v>
      </c>
      <c r="R74" s="257"/>
      <c r="S74" s="257">
        <f t="shared" si="48"/>
        <v>135600</v>
      </c>
      <c r="T74" s="162"/>
      <c r="U74" s="288"/>
      <c r="V74" s="288"/>
      <c r="W74" s="288"/>
      <c r="X74" s="288"/>
    </row>
    <row r="75" spans="1:24" s="309" customFormat="1" ht="15.75" customHeight="1" x14ac:dyDescent="0.25">
      <c r="A75" s="160"/>
      <c r="B75" s="251"/>
      <c r="C75" s="365" t="s">
        <v>245</v>
      </c>
      <c r="D75" s="166"/>
      <c r="E75" s="162"/>
      <c r="F75" s="160"/>
      <c r="G75" s="257">
        <v>0</v>
      </c>
      <c r="H75" s="255"/>
      <c r="I75" s="256"/>
      <c r="J75" s="257">
        <v>0</v>
      </c>
      <c r="K75" s="282"/>
      <c r="L75" s="257">
        <f t="shared" si="46"/>
        <v>0</v>
      </c>
      <c r="M75" s="255"/>
      <c r="N75" s="308"/>
      <c r="O75" s="257">
        <v>40000</v>
      </c>
      <c r="P75" s="257"/>
      <c r="Q75" s="257">
        <f t="shared" si="47"/>
        <v>40000</v>
      </c>
      <c r="R75" s="257"/>
      <c r="S75" s="257">
        <f t="shared" si="48"/>
        <v>40000</v>
      </c>
      <c r="T75" s="162"/>
      <c r="U75" s="288"/>
      <c r="V75" s="288"/>
      <c r="W75" s="288"/>
      <c r="X75" s="288"/>
    </row>
    <row r="76" spans="1:24" s="309" customFormat="1" ht="15.75" customHeight="1" x14ac:dyDescent="0.25">
      <c r="A76" s="160"/>
      <c r="B76" s="251"/>
      <c r="C76" s="365" t="s">
        <v>246</v>
      </c>
      <c r="D76" s="166"/>
      <c r="E76" s="162"/>
      <c r="F76" s="160"/>
      <c r="G76" s="257">
        <v>0</v>
      </c>
      <c r="H76" s="255"/>
      <c r="I76" s="256"/>
      <c r="J76" s="257">
        <v>0</v>
      </c>
      <c r="K76" s="282"/>
      <c r="L76" s="257">
        <f t="shared" si="46"/>
        <v>0</v>
      </c>
      <c r="M76" s="255"/>
      <c r="N76" s="308"/>
      <c r="O76" s="257">
        <v>500000</v>
      </c>
      <c r="P76" s="257"/>
      <c r="Q76" s="257">
        <f t="shared" si="47"/>
        <v>500000</v>
      </c>
      <c r="R76" s="257"/>
      <c r="S76" s="257">
        <f t="shared" si="48"/>
        <v>500000</v>
      </c>
      <c r="T76" s="162"/>
      <c r="U76" s="288"/>
      <c r="V76" s="288"/>
      <c r="W76" s="288"/>
      <c r="X76" s="288"/>
    </row>
    <row r="77" spans="1:24" s="309" customFormat="1" ht="15.75" customHeight="1" x14ac:dyDescent="0.25">
      <c r="A77" s="160"/>
      <c r="B77" s="251"/>
      <c r="C77" s="365" t="s">
        <v>247</v>
      </c>
      <c r="D77" s="166"/>
      <c r="E77" s="162"/>
      <c r="F77" s="160"/>
      <c r="G77" s="257">
        <v>0</v>
      </c>
      <c r="H77" s="255"/>
      <c r="I77" s="256"/>
      <c r="J77" s="257">
        <v>0</v>
      </c>
      <c r="K77" s="282"/>
      <c r="L77" s="257">
        <f t="shared" ref="L77:L78" si="49">SUM(J77)-SUM(G77)</f>
        <v>0</v>
      </c>
      <c r="M77" s="255"/>
      <c r="N77" s="308"/>
      <c r="O77" s="257">
        <v>95200</v>
      </c>
      <c r="P77" s="257"/>
      <c r="Q77" s="257">
        <f t="shared" ref="Q77:Q78" si="50">+O77-J77</f>
        <v>95200</v>
      </c>
      <c r="R77" s="257"/>
      <c r="S77" s="257">
        <f t="shared" ref="S77:S78" si="51">+O77-G77</f>
        <v>95200</v>
      </c>
      <c r="T77" s="162"/>
      <c r="U77" s="288"/>
      <c r="V77" s="288"/>
      <c r="W77" s="288"/>
      <c r="X77" s="288"/>
    </row>
    <row r="78" spans="1:24" s="309" customFormat="1" ht="15.75" customHeight="1" x14ac:dyDescent="0.25">
      <c r="A78" s="160"/>
      <c r="B78" s="251"/>
      <c r="C78" s="365" t="s">
        <v>248</v>
      </c>
      <c r="D78" s="166"/>
      <c r="E78" s="162"/>
      <c r="F78" s="160"/>
      <c r="G78" s="257">
        <v>0</v>
      </c>
      <c r="H78" s="255"/>
      <c r="I78" s="256"/>
      <c r="J78" s="257">
        <v>0</v>
      </c>
      <c r="K78" s="282"/>
      <c r="L78" s="257">
        <f t="shared" si="49"/>
        <v>0</v>
      </c>
      <c r="M78" s="255"/>
      <c r="N78" s="308"/>
      <c r="O78" s="257">
        <v>100000000</v>
      </c>
      <c r="P78" s="257"/>
      <c r="Q78" s="257">
        <f t="shared" si="50"/>
        <v>100000000</v>
      </c>
      <c r="R78" s="257"/>
      <c r="S78" s="257">
        <f t="shared" si="51"/>
        <v>100000000</v>
      </c>
      <c r="T78" s="162"/>
      <c r="U78" s="288"/>
      <c r="V78" s="288"/>
      <c r="W78" s="288"/>
      <c r="X78" s="288"/>
    </row>
    <row r="79" spans="1:24" s="309" customFormat="1" ht="15.75" customHeight="1" x14ac:dyDescent="0.25">
      <c r="A79" s="160"/>
      <c r="B79" s="251"/>
      <c r="C79" s="365" t="s">
        <v>249</v>
      </c>
      <c r="D79" s="166"/>
      <c r="E79" s="162"/>
      <c r="F79" s="160"/>
      <c r="G79" s="257">
        <v>0</v>
      </c>
      <c r="H79" s="255"/>
      <c r="I79" s="256"/>
      <c r="J79" s="257">
        <v>0</v>
      </c>
      <c r="K79" s="282"/>
      <c r="L79" s="257">
        <f t="shared" ref="L79" si="52">SUM(J79)-SUM(G79)</f>
        <v>0</v>
      </c>
      <c r="M79" s="255"/>
      <c r="N79" s="308"/>
      <c r="O79" s="257">
        <v>25000000</v>
      </c>
      <c r="P79" s="257"/>
      <c r="Q79" s="257">
        <f t="shared" ref="Q79" si="53">+O79-J79</f>
        <v>25000000</v>
      </c>
      <c r="R79" s="257"/>
      <c r="S79" s="257">
        <f t="shared" ref="S79" si="54">+O79-G79</f>
        <v>25000000</v>
      </c>
      <c r="T79" s="162"/>
      <c r="U79" s="288"/>
      <c r="V79" s="288"/>
      <c r="W79" s="288"/>
      <c r="X79" s="288"/>
    </row>
    <row r="80" spans="1:24" s="309" customFormat="1" ht="15.75" customHeight="1" x14ac:dyDescent="0.25">
      <c r="A80" s="160"/>
      <c r="B80" s="251"/>
      <c r="C80" s="365" t="s">
        <v>238</v>
      </c>
      <c r="D80" s="166"/>
      <c r="E80" s="162"/>
      <c r="F80" s="160"/>
      <c r="G80" s="257">
        <v>0</v>
      </c>
      <c r="H80" s="255"/>
      <c r="I80" s="256"/>
      <c r="J80" s="257">
        <v>0</v>
      </c>
      <c r="K80" s="282"/>
      <c r="L80" s="257">
        <f t="shared" ref="L80" si="55">SUM(J80)-SUM(G80)</f>
        <v>0</v>
      </c>
      <c r="M80" s="255"/>
      <c r="N80" s="308"/>
      <c r="O80" s="257">
        <v>1500000</v>
      </c>
      <c r="P80" s="257"/>
      <c r="Q80" s="257">
        <f t="shared" ref="Q80" si="56">+O80-J80</f>
        <v>1500000</v>
      </c>
      <c r="R80" s="257"/>
      <c r="S80" s="257">
        <f t="shared" ref="S80" si="57">+O80-G80</f>
        <v>1500000</v>
      </c>
      <c r="T80" s="162"/>
      <c r="U80" s="288"/>
      <c r="V80" s="288"/>
      <c r="W80" s="288"/>
      <c r="X80" s="288"/>
    </row>
    <row r="81" spans="1:25" s="309" customFormat="1" ht="15.75" customHeight="1" x14ac:dyDescent="0.25">
      <c r="A81" s="160"/>
      <c r="B81" s="251"/>
      <c r="C81" s="365" t="s">
        <v>250</v>
      </c>
      <c r="D81" s="166"/>
      <c r="E81" s="162"/>
      <c r="F81" s="160"/>
      <c r="G81" s="257">
        <v>0</v>
      </c>
      <c r="H81" s="255"/>
      <c r="I81" s="256"/>
      <c r="J81" s="257">
        <v>0</v>
      </c>
      <c r="K81" s="282"/>
      <c r="L81" s="257">
        <f t="shared" ref="L81" si="58">SUM(J81)-SUM(G81)</f>
        <v>0</v>
      </c>
      <c r="M81" s="255"/>
      <c r="N81" s="308"/>
      <c r="O81" s="257">
        <v>704800</v>
      </c>
      <c r="P81" s="257"/>
      <c r="Q81" s="257">
        <f t="shared" ref="Q81" si="59">+O81-J81</f>
        <v>704800</v>
      </c>
      <c r="R81" s="257"/>
      <c r="S81" s="257">
        <f t="shared" ref="S81" si="60">+O81-G81</f>
        <v>704800</v>
      </c>
      <c r="T81" s="162"/>
      <c r="U81" s="288"/>
      <c r="V81" s="288"/>
      <c r="W81" s="288"/>
      <c r="X81" s="288"/>
    </row>
    <row r="82" spans="1:25" s="309" customFormat="1" ht="15.75" hidden="1" customHeight="1" x14ac:dyDescent="0.25">
      <c r="A82" s="160"/>
      <c r="B82" s="251"/>
      <c r="C82" s="365"/>
      <c r="D82" s="166"/>
      <c r="E82" s="162"/>
      <c r="F82" s="160"/>
      <c r="G82" s="257">
        <v>0</v>
      </c>
      <c r="H82" s="255"/>
      <c r="I82" s="256"/>
      <c r="J82" s="257">
        <v>0</v>
      </c>
      <c r="K82" s="282"/>
      <c r="L82" s="257">
        <f t="shared" si="46"/>
        <v>0</v>
      </c>
      <c r="M82" s="255"/>
      <c r="N82" s="308"/>
      <c r="O82" s="257">
        <v>0</v>
      </c>
      <c r="P82" s="257"/>
      <c r="Q82" s="257">
        <f t="shared" si="47"/>
        <v>0</v>
      </c>
      <c r="R82" s="257"/>
      <c r="S82" s="257">
        <f t="shared" si="48"/>
        <v>0</v>
      </c>
      <c r="T82" s="162"/>
      <c r="U82" s="288"/>
      <c r="V82" s="288"/>
      <c r="W82" s="288"/>
      <c r="X82" s="288"/>
    </row>
    <row r="83" spans="1:25" s="309" customFormat="1" ht="15.75" hidden="1" customHeight="1" x14ac:dyDescent="0.25">
      <c r="A83" s="160"/>
      <c r="B83" s="251"/>
      <c r="C83" s="365"/>
      <c r="D83" s="166"/>
      <c r="E83" s="162"/>
      <c r="F83" s="160"/>
      <c r="G83" s="257">
        <v>0</v>
      </c>
      <c r="H83" s="255"/>
      <c r="I83" s="256"/>
      <c r="J83" s="257">
        <v>0</v>
      </c>
      <c r="K83" s="282"/>
      <c r="L83" s="257">
        <f t="shared" ref="L83" si="61">SUM(J83)-SUM(G83)</f>
        <v>0</v>
      </c>
      <c r="M83" s="255"/>
      <c r="N83" s="308"/>
      <c r="O83" s="257">
        <v>0</v>
      </c>
      <c r="P83" s="257"/>
      <c r="Q83" s="257">
        <f t="shared" ref="Q83" si="62">+O83-J83</f>
        <v>0</v>
      </c>
      <c r="R83" s="257"/>
      <c r="S83" s="257">
        <f t="shared" ref="S83" si="63">+O83-G83</f>
        <v>0</v>
      </c>
      <c r="T83" s="162"/>
      <c r="U83" s="288"/>
      <c r="V83" s="288"/>
      <c r="W83" s="288"/>
      <c r="X83" s="288"/>
    </row>
    <row r="84" spans="1:25" s="309" customFormat="1" ht="15.75" hidden="1" customHeight="1" x14ac:dyDescent="0.25">
      <c r="A84" s="160"/>
      <c r="B84" s="251"/>
      <c r="C84" s="365"/>
      <c r="D84" s="166"/>
      <c r="E84" s="162"/>
      <c r="F84" s="160"/>
      <c r="G84" s="257">
        <v>0</v>
      </c>
      <c r="H84" s="255"/>
      <c r="I84" s="256"/>
      <c r="J84" s="257">
        <v>0</v>
      </c>
      <c r="K84" s="282"/>
      <c r="L84" s="257">
        <f t="shared" ref="L84" si="64">SUM(J84)-SUM(G84)</f>
        <v>0</v>
      </c>
      <c r="M84" s="255"/>
      <c r="N84" s="308"/>
      <c r="O84" s="257">
        <v>0</v>
      </c>
      <c r="P84" s="257"/>
      <c r="Q84" s="257">
        <f t="shared" ref="Q84" si="65">+O84-J84</f>
        <v>0</v>
      </c>
      <c r="R84" s="257"/>
      <c r="S84" s="257">
        <f t="shared" ref="S84" si="66">+O84-G84</f>
        <v>0</v>
      </c>
      <c r="T84" s="162"/>
      <c r="U84" s="288"/>
      <c r="V84" s="288"/>
      <c r="W84" s="288"/>
      <c r="X84" s="288"/>
    </row>
    <row r="85" spans="1:25" s="309" customFormat="1" ht="15.75" hidden="1" customHeight="1" x14ac:dyDescent="0.25">
      <c r="A85" s="160"/>
      <c r="B85" s="251"/>
      <c r="C85" s="365"/>
      <c r="D85" s="166"/>
      <c r="E85" s="162"/>
      <c r="F85" s="160"/>
      <c r="G85" s="257">
        <v>0</v>
      </c>
      <c r="H85" s="255"/>
      <c r="I85" s="256"/>
      <c r="J85" s="257">
        <v>0</v>
      </c>
      <c r="K85" s="282"/>
      <c r="L85" s="257">
        <f t="shared" ref="L85" si="67">SUM(J85)-SUM(G85)</f>
        <v>0</v>
      </c>
      <c r="M85" s="255"/>
      <c r="N85" s="308"/>
      <c r="O85" s="257">
        <v>0</v>
      </c>
      <c r="P85" s="257"/>
      <c r="Q85" s="257">
        <f t="shared" ref="Q85" si="68">+O85-J85</f>
        <v>0</v>
      </c>
      <c r="R85" s="257"/>
      <c r="S85" s="257">
        <f t="shared" ref="S85" si="69">+O85-G85</f>
        <v>0</v>
      </c>
      <c r="T85" s="162"/>
      <c r="U85" s="288"/>
      <c r="V85" s="288"/>
      <c r="W85" s="288"/>
      <c r="X85" s="288"/>
    </row>
    <row r="86" spans="1:25" s="309" customFormat="1" ht="15.75" hidden="1" customHeight="1" x14ac:dyDescent="0.25">
      <c r="A86" s="160"/>
      <c r="B86" s="251"/>
      <c r="C86" s="365"/>
      <c r="D86" s="166"/>
      <c r="E86" s="162"/>
      <c r="F86" s="160"/>
      <c r="G86" s="257">
        <v>0</v>
      </c>
      <c r="H86" s="255"/>
      <c r="I86" s="256"/>
      <c r="J86" s="257">
        <v>0</v>
      </c>
      <c r="K86" s="282"/>
      <c r="L86" s="257">
        <f t="shared" si="46"/>
        <v>0</v>
      </c>
      <c r="M86" s="255"/>
      <c r="N86" s="308"/>
      <c r="O86" s="257">
        <v>0</v>
      </c>
      <c r="P86" s="257"/>
      <c r="Q86" s="257">
        <f t="shared" si="47"/>
        <v>0</v>
      </c>
      <c r="R86" s="257"/>
      <c r="S86" s="257">
        <f t="shared" si="48"/>
        <v>0</v>
      </c>
      <c r="T86" s="162"/>
      <c r="U86" s="288"/>
      <c r="V86" s="288"/>
      <c r="W86" s="288"/>
      <c r="X86" s="288"/>
    </row>
    <row r="87" spans="1:25" s="309" customFormat="1" ht="15.75" hidden="1" customHeight="1" x14ac:dyDescent="0.25">
      <c r="A87" s="160"/>
      <c r="B87" s="251"/>
      <c r="C87" s="365"/>
      <c r="D87" s="166"/>
      <c r="E87" s="162"/>
      <c r="F87" s="160"/>
      <c r="G87" s="257">
        <v>0</v>
      </c>
      <c r="H87" s="255"/>
      <c r="I87" s="256"/>
      <c r="J87" s="257">
        <v>0</v>
      </c>
      <c r="K87" s="282"/>
      <c r="L87" s="257">
        <f t="shared" si="46"/>
        <v>0</v>
      </c>
      <c r="M87" s="255"/>
      <c r="N87" s="308"/>
      <c r="O87" s="257">
        <v>0</v>
      </c>
      <c r="P87" s="257"/>
      <c r="Q87" s="257">
        <f t="shared" si="47"/>
        <v>0</v>
      </c>
      <c r="R87" s="257"/>
      <c r="S87" s="257">
        <f t="shared" si="48"/>
        <v>0</v>
      </c>
      <c r="T87" s="162"/>
      <c r="U87" s="288"/>
      <c r="V87" s="288"/>
      <c r="W87" s="288"/>
      <c r="X87" s="288"/>
    </row>
    <row r="88" spans="1:25" s="320" customFormat="1" ht="15.75" customHeight="1" x14ac:dyDescent="0.25">
      <c r="A88" s="310"/>
      <c r="B88" s="311"/>
      <c r="C88" s="312"/>
      <c r="D88" s="313"/>
      <c r="E88" s="314"/>
      <c r="F88" s="310"/>
      <c r="G88" s="315"/>
      <c r="H88" s="316"/>
      <c r="I88" s="317"/>
      <c r="J88" s="315"/>
      <c r="K88" s="318"/>
      <c r="L88" s="315"/>
      <c r="M88" s="316"/>
      <c r="N88" s="310"/>
      <c r="O88" s="319"/>
      <c r="P88" s="319"/>
      <c r="Q88" s="319"/>
      <c r="R88" s="319"/>
      <c r="S88" s="319"/>
      <c r="T88" s="314"/>
    </row>
    <row r="89" spans="1:25" s="320" customFormat="1" ht="15.75" customHeight="1" x14ac:dyDescent="0.25">
      <c r="A89" s="321"/>
      <c r="B89" s="322"/>
      <c r="C89" s="323"/>
      <c r="D89" s="324"/>
      <c r="E89" s="322"/>
      <c r="F89" s="325"/>
      <c r="G89" s="326"/>
      <c r="H89" s="327"/>
      <c r="I89" s="328"/>
      <c r="J89" s="326"/>
      <c r="K89" s="329"/>
      <c r="L89" s="326"/>
      <c r="M89" s="327"/>
      <c r="N89" s="322"/>
      <c r="O89" s="267"/>
      <c r="P89" s="330"/>
      <c r="Q89" s="330"/>
      <c r="R89" s="330"/>
      <c r="S89" s="330"/>
      <c r="T89" s="331"/>
      <c r="Y89" s="332"/>
    </row>
    <row r="90" spans="1:25" s="320" customFormat="1" ht="15.75" customHeight="1" x14ac:dyDescent="0.25">
      <c r="A90" s="321"/>
      <c r="B90" s="333" t="s">
        <v>211</v>
      </c>
      <c r="C90" s="333"/>
      <c r="D90" s="333"/>
      <c r="E90" s="334"/>
      <c r="F90" s="321"/>
      <c r="G90" s="252">
        <f>SUM(G60:G87)</f>
        <v>8311300</v>
      </c>
      <c r="H90" s="334"/>
      <c r="I90" s="321"/>
      <c r="J90" s="252">
        <f>SUM(J60:J87)</f>
        <v>8586300</v>
      </c>
      <c r="K90" s="333"/>
      <c r="L90" s="173">
        <f t="shared" ref="L90" si="70">SUM(J90)-SUM(G90)</f>
        <v>275000</v>
      </c>
      <c r="M90" s="334"/>
      <c r="N90" s="333"/>
      <c r="O90" s="252">
        <f>SUM(O60:O87)</f>
        <v>158834700</v>
      </c>
      <c r="P90" s="252"/>
      <c r="Q90" s="173">
        <f>+O90-J90</f>
        <v>150248400</v>
      </c>
      <c r="R90" s="251"/>
      <c r="S90" s="173">
        <f>+O90-G90</f>
        <v>150523400</v>
      </c>
      <c r="T90" s="334"/>
      <c r="Y90" s="332"/>
    </row>
    <row r="91" spans="1:25" s="320" customFormat="1" ht="15.75" customHeight="1" x14ac:dyDescent="0.25">
      <c r="A91" s="321"/>
      <c r="B91" s="333"/>
      <c r="C91" s="322" t="s">
        <v>177</v>
      </c>
      <c r="D91" s="333"/>
      <c r="E91" s="334"/>
      <c r="F91" s="321"/>
      <c r="G91" s="307">
        <f>+G90/U1</f>
        <v>6.3667690399433503E-3</v>
      </c>
      <c r="H91" s="334"/>
      <c r="I91" s="321"/>
      <c r="J91" s="307">
        <f>+J90/$U$1</f>
        <v>6.5774294042647459E-3</v>
      </c>
      <c r="K91" s="333"/>
      <c r="L91" s="307">
        <f>+L90/$U$1</f>
        <v>2.1066036432139631E-4</v>
      </c>
      <c r="M91" s="334"/>
      <c r="N91" s="333"/>
      <c r="O91" s="307">
        <f>+O90/U1</f>
        <v>0.12167336643228978</v>
      </c>
      <c r="P91" s="333"/>
      <c r="Q91" s="307">
        <f>+Q90/U1</f>
        <v>0.11509593702802504</v>
      </c>
      <c r="R91" s="307"/>
      <c r="S91" s="307">
        <f>+S90/U1</f>
        <v>0.11530659739234643</v>
      </c>
      <c r="T91" s="334"/>
      <c r="Y91" s="332"/>
    </row>
    <row r="92" spans="1:25" s="320" customFormat="1" ht="15.75" customHeight="1" x14ac:dyDescent="0.25">
      <c r="A92" s="335"/>
      <c r="B92" s="311"/>
      <c r="C92" s="311"/>
      <c r="D92" s="311"/>
      <c r="E92" s="314"/>
      <c r="F92" s="310"/>
      <c r="G92" s="311"/>
      <c r="H92" s="314"/>
      <c r="I92" s="310"/>
      <c r="J92" s="311"/>
      <c r="K92" s="311"/>
      <c r="L92" s="311"/>
      <c r="M92" s="314"/>
      <c r="N92" s="311"/>
      <c r="O92" s="336"/>
      <c r="P92" s="336"/>
      <c r="Q92" s="336"/>
      <c r="R92" s="336"/>
      <c r="S92" s="336"/>
      <c r="T92" s="314"/>
      <c r="Y92" s="332"/>
    </row>
    <row r="93" spans="1:25" s="320" customFormat="1" ht="15.75" customHeight="1" x14ac:dyDescent="0.25">
      <c r="A93" s="321"/>
      <c r="B93" s="322"/>
      <c r="C93" s="322"/>
      <c r="D93" s="322"/>
      <c r="E93" s="322"/>
      <c r="F93" s="337"/>
      <c r="G93" s="338"/>
      <c r="H93" s="339"/>
      <c r="I93" s="322"/>
      <c r="J93" s="322"/>
      <c r="K93" s="322"/>
      <c r="L93" s="322"/>
      <c r="M93" s="331"/>
      <c r="N93" s="337"/>
      <c r="O93" s="340"/>
      <c r="P93" s="340"/>
      <c r="Q93" s="340"/>
      <c r="R93" s="340"/>
      <c r="S93" s="340"/>
      <c r="T93" s="339"/>
      <c r="Y93" s="332"/>
    </row>
    <row r="94" spans="1:25" s="341" customFormat="1" ht="15.75" customHeight="1" x14ac:dyDescent="0.3">
      <c r="A94" s="273" t="s">
        <v>142</v>
      </c>
      <c r="B94" s="189"/>
      <c r="C94" s="189"/>
      <c r="D94" s="189"/>
      <c r="E94" s="189"/>
      <c r="F94" s="273"/>
      <c r="G94" s="276">
        <f>+G55+G90</f>
        <v>122279100</v>
      </c>
      <c r="H94" s="274"/>
      <c r="I94" s="190"/>
      <c r="J94" s="276">
        <f>+J55+J90</f>
        <v>129554100</v>
      </c>
      <c r="K94" s="190"/>
      <c r="L94" s="190">
        <f>+J94-G94</f>
        <v>7275000</v>
      </c>
      <c r="M94" s="274"/>
      <c r="N94" s="278"/>
      <c r="O94" s="190">
        <f>+O55+O90</f>
        <v>282835800</v>
      </c>
      <c r="P94" s="190"/>
      <c r="Q94" s="190">
        <f>+Q55+Q90</f>
        <v>153281700</v>
      </c>
      <c r="R94" s="190"/>
      <c r="S94" s="190">
        <f>+S55+S90</f>
        <v>160556700</v>
      </c>
      <c r="T94" s="274"/>
      <c r="U94" s="299"/>
      <c r="V94" s="299"/>
      <c r="W94" s="299"/>
      <c r="X94" s="299"/>
    </row>
    <row r="95" spans="1:25" s="341" customFormat="1" ht="15.75" customHeight="1" x14ac:dyDescent="0.25">
      <c r="A95" s="273"/>
      <c r="B95" s="189"/>
      <c r="C95" s="216" t="s">
        <v>177</v>
      </c>
      <c r="D95" s="217"/>
      <c r="E95" s="217"/>
      <c r="F95" s="277"/>
      <c r="G95" s="342">
        <f>+G94/$U$1</f>
        <v>9.3670399108699828E-2</v>
      </c>
      <c r="H95" s="275"/>
      <c r="I95" s="217"/>
      <c r="J95" s="342">
        <f>+J94/$U$1</f>
        <v>9.9243323292111316E-2</v>
      </c>
      <c r="K95" s="217"/>
      <c r="L95" s="342">
        <f>+L94/$U$1</f>
        <v>5.5729241834114847E-3</v>
      </c>
      <c r="M95" s="275"/>
      <c r="N95" s="278"/>
      <c r="O95" s="342">
        <f>+O94/U1</f>
        <v>0.21666288244048576</v>
      </c>
      <c r="P95" s="190"/>
      <c r="Q95" s="342">
        <f>+Q94/U1</f>
        <v>0.11741955914837446</v>
      </c>
      <c r="R95" s="190"/>
      <c r="S95" s="342">
        <f>+S94/U1</f>
        <v>0.12299248333178593</v>
      </c>
      <c r="T95" s="274"/>
      <c r="U95" s="299"/>
      <c r="V95" s="299"/>
      <c r="W95" s="299"/>
      <c r="X95" s="299"/>
    </row>
    <row r="96" spans="1:25" s="346" customFormat="1" ht="15.75" customHeight="1" x14ac:dyDescent="0.25">
      <c r="A96" s="343"/>
      <c r="B96" s="344"/>
      <c r="C96" s="344"/>
      <c r="D96" s="344"/>
      <c r="E96" s="344"/>
      <c r="F96" s="343"/>
      <c r="G96" s="344"/>
      <c r="H96" s="345"/>
      <c r="I96" s="344"/>
      <c r="J96" s="344"/>
      <c r="K96" s="344"/>
      <c r="L96" s="344"/>
      <c r="M96" s="345"/>
      <c r="N96" s="343"/>
      <c r="O96" s="344"/>
      <c r="P96" s="344"/>
      <c r="Q96" s="344"/>
      <c r="R96" s="344"/>
      <c r="S96" s="344"/>
      <c r="T96" s="345"/>
      <c r="U96" s="288"/>
      <c r="V96" s="288"/>
      <c r="W96" s="288"/>
      <c r="X96" s="288"/>
    </row>
    <row r="97" spans="1:24" s="346" customFormat="1" ht="15.75" customHeight="1" x14ac:dyDescent="0.25">
      <c r="A97" s="392" t="s">
        <v>234</v>
      </c>
      <c r="B97" s="347"/>
      <c r="C97" s="347"/>
      <c r="D97" s="347"/>
      <c r="E97" s="347"/>
      <c r="F97" s="347"/>
      <c r="G97" s="347"/>
      <c r="H97" s="347"/>
      <c r="I97" s="347"/>
      <c r="J97" s="347"/>
      <c r="K97" s="347"/>
      <c r="L97" s="347"/>
      <c r="M97" s="347"/>
      <c r="U97" s="288"/>
      <c r="V97" s="288"/>
      <c r="W97" s="288"/>
      <c r="X97" s="288"/>
    </row>
    <row r="98" spans="1:24" s="346" customFormat="1" ht="18" customHeight="1" x14ac:dyDescent="0.3">
      <c r="A98" s="459"/>
      <c r="B98" s="459"/>
      <c r="C98" s="459"/>
      <c r="D98" s="459"/>
      <c r="E98" s="459"/>
      <c r="F98" s="459"/>
      <c r="G98" s="459"/>
      <c r="H98" s="459"/>
      <c r="I98" s="459"/>
      <c r="J98" s="459"/>
      <c r="K98" s="459"/>
      <c r="L98" s="459"/>
      <c r="M98" s="459"/>
      <c r="N98" s="370"/>
      <c r="O98" s="370"/>
      <c r="P98" s="370"/>
      <c r="Q98" s="370"/>
      <c r="R98" s="370"/>
      <c r="S98" s="370"/>
      <c r="T98" s="370"/>
      <c r="U98" s="288"/>
      <c r="V98" s="288"/>
      <c r="W98" s="288"/>
      <c r="X98" s="288"/>
    </row>
    <row r="99" spans="1:24" s="346" customFormat="1" ht="18" customHeight="1" x14ac:dyDescent="0.25">
      <c r="A99" s="461"/>
      <c r="B99" s="461"/>
      <c r="C99" s="461"/>
      <c r="D99" s="461"/>
      <c r="E99" s="461"/>
      <c r="F99" s="461"/>
      <c r="G99" s="461"/>
      <c r="H99" s="461"/>
      <c r="I99" s="461"/>
      <c r="J99" s="461"/>
      <c r="K99" s="461"/>
      <c r="L99" s="461"/>
      <c r="M99" s="461"/>
      <c r="N99" s="348"/>
      <c r="O99" s="349"/>
      <c r="P99" s="348"/>
      <c r="Q99" s="348"/>
      <c r="R99" s="348"/>
      <c r="S99" s="348"/>
      <c r="T99" s="348"/>
      <c r="U99" s="288"/>
      <c r="V99" s="288"/>
      <c r="W99" s="288"/>
      <c r="X99" s="288"/>
    </row>
    <row r="100" spans="1:24" s="346" customFormat="1" ht="18" customHeight="1" x14ac:dyDescent="0.25">
      <c r="A100" s="461"/>
      <c r="B100" s="461"/>
      <c r="C100" s="461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348"/>
      <c r="O100" s="349"/>
      <c r="P100" s="348"/>
      <c r="Q100" s="348"/>
      <c r="R100" s="348"/>
      <c r="S100" s="348"/>
      <c r="T100" s="348"/>
      <c r="U100" s="288"/>
      <c r="V100" s="288"/>
      <c r="W100" s="288"/>
      <c r="X100" s="288"/>
    </row>
    <row r="101" spans="1:24" ht="18" customHeight="1" x14ac:dyDescent="0.25">
      <c r="A101" s="462"/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350"/>
      <c r="O101" s="350"/>
      <c r="P101" s="350"/>
      <c r="Q101" s="350"/>
      <c r="R101" s="350"/>
      <c r="S101" s="350"/>
      <c r="T101" s="350"/>
    </row>
    <row r="102" spans="1:24" ht="18" customHeight="1" x14ac:dyDescent="0.25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  <c r="K102" s="461"/>
      <c r="L102" s="461"/>
      <c r="M102" s="461"/>
      <c r="N102" s="350"/>
      <c r="O102" s="350"/>
      <c r="P102" s="350"/>
      <c r="Q102" s="350"/>
      <c r="R102" s="350"/>
      <c r="S102" s="350"/>
      <c r="T102" s="350"/>
    </row>
    <row r="106" spans="1:24" x14ac:dyDescent="0.25">
      <c r="L106" s="351"/>
    </row>
  </sheetData>
  <sortState xmlns:xlrd2="http://schemas.microsoft.com/office/spreadsheetml/2017/richdata2" ref="C64:S87">
    <sortCondition descending="1" ref="O64:O87"/>
  </sortState>
  <mergeCells count="12">
    <mergeCell ref="N5:T5"/>
    <mergeCell ref="A98:M98"/>
    <mergeCell ref="F1:K1"/>
    <mergeCell ref="A102:M102"/>
    <mergeCell ref="A99:M99"/>
    <mergeCell ref="A100:M100"/>
    <mergeCell ref="A101:M101"/>
    <mergeCell ref="A3:M3"/>
    <mergeCell ref="A4:M4"/>
    <mergeCell ref="A5:E6"/>
    <mergeCell ref="F5:H5"/>
    <mergeCell ref="I5:M5"/>
  </mergeCells>
  <printOptions horizontalCentered="1"/>
  <pageMargins left="0.5" right="0.5" top="0.7" bottom="0.5" header="0.5" footer="0.25"/>
  <pageSetup scale="57"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DB2E-7B07-4AB7-82F9-535A27FF4AC8}">
  <sheetPr>
    <pageSetUpPr fitToPage="1"/>
  </sheetPr>
  <dimension ref="A1:U42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192</v>
      </c>
      <c r="B1" s="157"/>
      <c r="C1" s="157"/>
      <c r="D1" s="157"/>
      <c r="E1" s="157"/>
      <c r="F1" s="158" t="str">
        <f>+'USHE-GOV'!N1</f>
        <v>December 6, 2024</v>
      </c>
      <c r="G1" s="404">
        <v>8965100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267700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197700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70000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SUM(F13:F14)</f>
        <v>72000</v>
      </c>
    </row>
    <row r="13" spans="1:21" ht="15.75" customHeight="1" x14ac:dyDescent="0.25">
      <c r="A13" s="171"/>
      <c r="B13" s="300"/>
      <c r="C13" s="164"/>
      <c r="D13" s="365" t="s">
        <v>258</v>
      </c>
      <c r="E13" s="162"/>
      <c r="F13" s="255">
        <v>53400</v>
      </c>
    </row>
    <row r="14" spans="1:21" ht="15.75" customHeight="1" x14ac:dyDescent="0.25">
      <c r="A14" s="171"/>
      <c r="B14" s="300"/>
      <c r="C14" s="164"/>
      <c r="D14" s="365" t="s">
        <v>153</v>
      </c>
      <c r="E14" s="162"/>
      <c r="F14" s="255">
        <v>18600</v>
      </c>
    </row>
    <row r="15" spans="1:21" s="288" customFormat="1" ht="15.75" customHeight="1" x14ac:dyDescent="0.25">
      <c r="A15" s="171"/>
      <c r="B15" s="300"/>
      <c r="C15" s="164" t="s">
        <v>48</v>
      </c>
      <c r="D15" s="365"/>
      <c r="E15" s="162"/>
      <c r="F15" s="262">
        <f>SUM(F16:H17)</f>
        <v>-44500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300"/>
      <c r="C16" s="164"/>
      <c r="D16" s="365" t="s">
        <v>295</v>
      </c>
      <c r="E16" s="162"/>
      <c r="F16" s="255">
        <v>-44500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hidden="1" customHeight="1" x14ac:dyDescent="0.25">
      <c r="A17" s="171"/>
      <c r="B17" s="300"/>
      <c r="C17" s="164"/>
      <c r="D17" s="430" t="s">
        <v>254</v>
      </c>
      <c r="E17" s="162"/>
      <c r="F17" s="255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82"/>
      <c r="B18" s="303"/>
      <c r="C18" s="304"/>
      <c r="D18" s="183"/>
      <c r="E18" s="185"/>
      <c r="F18" s="377"/>
      <c r="K18" s="289"/>
    </row>
    <row r="19" spans="1:21" s="288" customFormat="1" ht="15.75" customHeight="1" x14ac:dyDescent="0.25">
      <c r="A19" s="178"/>
      <c r="B19" s="179"/>
      <c r="C19" s="179"/>
      <c r="D19" s="180"/>
      <c r="E19" s="181"/>
      <c r="F19" s="378"/>
      <c r="K19" s="289"/>
    </row>
    <row r="20" spans="1:21" s="288" customFormat="1" ht="15.75" customHeight="1" x14ac:dyDescent="0.25">
      <c r="A20" s="171"/>
      <c r="B20" s="170" t="s">
        <v>321</v>
      </c>
      <c r="C20" s="170"/>
      <c r="D20" s="170"/>
      <c r="E20" s="172"/>
      <c r="F20" s="379">
        <f>+F12+F15+F9</f>
        <v>295200</v>
      </c>
      <c r="K20" s="289"/>
    </row>
    <row r="21" spans="1:21" ht="15.75" customHeight="1" x14ac:dyDescent="0.25">
      <c r="A21" s="171"/>
      <c r="B21" s="170"/>
      <c r="C21" s="251" t="s">
        <v>177</v>
      </c>
      <c r="D21" s="170"/>
      <c r="E21" s="172"/>
      <c r="F21" s="380">
        <f>+F20/$G$1</f>
        <v>3.2927686250013945E-2</v>
      </c>
    </row>
    <row r="22" spans="1:21" s="320" customFormat="1" ht="15.75" customHeight="1" x14ac:dyDescent="0.25">
      <c r="A22" s="310"/>
      <c r="B22" s="311"/>
      <c r="C22" s="312"/>
      <c r="D22" s="313"/>
      <c r="E22" s="314"/>
      <c r="F22" s="384"/>
    </row>
    <row r="23" spans="1:21" s="320" customFormat="1" ht="15.75" customHeight="1" x14ac:dyDescent="0.25">
      <c r="A23" s="387"/>
      <c r="B23" s="338"/>
      <c r="C23" s="407"/>
      <c r="D23" s="390"/>
      <c r="E23" s="339"/>
      <c r="F23" s="248"/>
      <c r="K23" s="332"/>
    </row>
    <row r="24" spans="1:21" ht="15.75" customHeight="1" x14ac:dyDescent="0.25">
      <c r="A24" s="171"/>
      <c r="B24" s="163" t="s">
        <v>100</v>
      </c>
      <c r="C24" s="300"/>
      <c r="D24" s="251"/>
      <c r="E24" s="162"/>
      <c r="F24" s="383"/>
    </row>
    <row r="25" spans="1:21" s="309" customFormat="1" ht="15.75" customHeight="1" x14ac:dyDescent="0.25">
      <c r="A25" s="160"/>
      <c r="B25" s="251"/>
      <c r="C25" s="365" t="s">
        <v>295</v>
      </c>
      <c r="D25" s="166"/>
      <c r="E25" s="162"/>
      <c r="F25" s="255">
        <v>44500</v>
      </c>
      <c r="G25" s="288"/>
      <c r="H25" s="288"/>
      <c r="I25" s="288"/>
      <c r="J25" s="288"/>
    </row>
    <row r="26" spans="1:21" s="309" customFormat="1" ht="15.75" hidden="1" customHeight="1" x14ac:dyDescent="0.25">
      <c r="A26" s="160"/>
      <c r="B26" s="251"/>
      <c r="C26" s="430" t="s">
        <v>258</v>
      </c>
      <c r="D26" s="166"/>
      <c r="E26" s="162"/>
      <c r="F26" s="255"/>
      <c r="G26" s="288"/>
      <c r="H26" s="288"/>
      <c r="I26" s="288"/>
      <c r="J26" s="288"/>
    </row>
    <row r="27" spans="1:21" s="309" customFormat="1" ht="15.75" customHeight="1" x14ac:dyDescent="0.25">
      <c r="A27" s="160"/>
      <c r="B27" s="251"/>
      <c r="C27" s="365" t="s">
        <v>259</v>
      </c>
      <c r="D27" s="166"/>
      <c r="E27" s="162"/>
      <c r="F27" s="255">
        <v>-298700</v>
      </c>
      <c r="G27" s="288"/>
      <c r="H27" s="288"/>
      <c r="I27" s="288"/>
      <c r="J27" s="288"/>
    </row>
    <row r="28" spans="1:21" s="309" customFormat="1" ht="15.75" customHeight="1" x14ac:dyDescent="0.25">
      <c r="A28" s="184"/>
      <c r="B28" s="183"/>
      <c r="C28" s="405"/>
      <c r="D28" s="304"/>
      <c r="E28" s="185"/>
      <c r="F28" s="406"/>
      <c r="G28" s="288"/>
      <c r="H28" s="288"/>
      <c r="I28" s="288"/>
      <c r="J28" s="288"/>
    </row>
    <row r="29" spans="1:21" s="320" customFormat="1" ht="15.75" customHeight="1" x14ac:dyDescent="0.25">
      <c r="A29" s="321"/>
      <c r="B29" s="322"/>
      <c r="C29" s="323"/>
      <c r="D29" s="324"/>
      <c r="E29" s="339"/>
      <c r="F29" s="248"/>
      <c r="K29" s="332"/>
    </row>
    <row r="30" spans="1:21" s="320" customFormat="1" ht="15.75" customHeight="1" x14ac:dyDescent="0.25">
      <c r="A30" s="321"/>
      <c r="B30" s="333" t="s">
        <v>211</v>
      </c>
      <c r="C30" s="333"/>
      <c r="D30" s="333"/>
      <c r="E30" s="334"/>
      <c r="F30" s="385">
        <f>SUM(F25:F27)</f>
        <v>-254200</v>
      </c>
      <c r="K30" s="332"/>
    </row>
    <row r="31" spans="1:21" s="320" customFormat="1" ht="15.75" customHeight="1" x14ac:dyDescent="0.25">
      <c r="A31" s="321"/>
      <c r="B31" s="333"/>
      <c r="C31" s="322" t="s">
        <v>177</v>
      </c>
      <c r="D31" s="333"/>
      <c r="E31" s="334"/>
      <c r="F31" s="380">
        <f>+F30/G1</f>
        <v>-2.8354396493067563E-2</v>
      </c>
      <c r="K31" s="332"/>
    </row>
    <row r="32" spans="1:21" s="320" customFormat="1" ht="15.75" customHeight="1" x14ac:dyDescent="0.25">
      <c r="A32" s="335"/>
      <c r="B32" s="311"/>
      <c r="C32" s="311"/>
      <c r="D32" s="311"/>
      <c r="E32" s="314"/>
      <c r="F32" s="386"/>
      <c r="K32" s="332"/>
    </row>
    <row r="33" spans="1:11" s="320" customFormat="1" ht="15.75" customHeight="1" x14ac:dyDescent="0.25">
      <c r="A33" s="387"/>
      <c r="B33" s="338"/>
      <c r="C33" s="338"/>
      <c r="D33" s="338"/>
      <c r="E33" s="338"/>
      <c r="F33" s="388"/>
      <c r="K33" s="332"/>
    </row>
    <row r="34" spans="1:11" s="341" customFormat="1" ht="15.75" customHeight="1" x14ac:dyDescent="0.3">
      <c r="A34" s="273" t="s">
        <v>320</v>
      </c>
      <c r="B34" s="189"/>
      <c r="C34" s="189"/>
      <c r="D34" s="189"/>
      <c r="E34" s="189"/>
      <c r="F34" s="274">
        <f>+F20+F30</f>
        <v>41000</v>
      </c>
      <c r="G34" s="299"/>
      <c r="H34" s="299"/>
      <c r="I34" s="299"/>
      <c r="J34" s="299"/>
    </row>
    <row r="35" spans="1:11" s="341" customFormat="1" ht="15.75" customHeight="1" x14ac:dyDescent="0.25">
      <c r="A35" s="273"/>
      <c r="B35" s="189"/>
      <c r="C35" s="216" t="s">
        <v>177</v>
      </c>
      <c r="D35" s="217"/>
      <c r="E35" s="217"/>
      <c r="F35" s="389">
        <f>+F34/G1</f>
        <v>4.5732897569463809E-3</v>
      </c>
      <c r="G35" s="299"/>
      <c r="H35" s="299"/>
      <c r="I35" s="299"/>
      <c r="J35" s="299"/>
    </row>
    <row r="36" spans="1:11" s="346" customFormat="1" ht="15.75" customHeight="1" x14ac:dyDescent="0.25">
      <c r="A36" s="343"/>
      <c r="B36" s="344"/>
      <c r="C36" s="344"/>
      <c r="D36" s="344"/>
      <c r="E36" s="344"/>
      <c r="F36" s="345"/>
      <c r="G36" s="288"/>
      <c r="H36" s="288"/>
      <c r="I36" s="288"/>
      <c r="J36" s="288"/>
    </row>
    <row r="37" spans="1:11" s="346" customFormat="1" ht="15.75" customHeight="1" x14ac:dyDescent="0.25">
      <c r="A37" s="347"/>
      <c r="B37" s="347"/>
      <c r="C37" s="347"/>
      <c r="D37" s="347"/>
      <c r="E37" s="347"/>
      <c r="G37" s="288"/>
      <c r="H37" s="288"/>
      <c r="I37" s="288"/>
      <c r="J37" s="288"/>
    </row>
    <row r="38" spans="1:11" s="346" customFormat="1" ht="18" customHeight="1" x14ac:dyDescent="0.3">
      <c r="A38" s="459"/>
      <c r="B38" s="459"/>
      <c r="C38" s="459"/>
      <c r="D38" s="459"/>
      <c r="E38" s="459"/>
      <c r="F38" s="370"/>
      <c r="G38" s="288"/>
      <c r="H38" s="288"/>
      <c r="I38" s="288"/>
      <c r="J38" s="288"/>
    </row>
    <row r="39" spans="1:11" s="346" customFormat="1" ht="18" customHeight="1" x14ac:dyDescent="0.25">
      <c r="A39" s="461"/>
      <c r="B39" s="461"/>
      <c r="C39" s="461"/>
      <c r="D39" s="461"/>
      <c r="E39" s="461"/>
      <c r="F39" s="349"/>
      <c r="G39" s="288"/>
      <c r="H39" s="288"/>
      <c r="I39" s="288"/>
      <c r="J39" s="288"/>
    </row>
    <row r="40" spans="1:11" s="346" customFormat="1" ht="18" customHeight="1" x14ac:dyDescent="0.25">
      <c r="A40" s="461"/>
      <c r="B40" s="461"/>
      <c r="C40" s="461"/>
      <c r="D40" s="461"/>
      <c r="E40" s="461"/>
      <c r="F40" s="349"/>
      <c r="G40" s="288"/>
      <c r="H40" s="288"/>
      <c r="I40" s="288"/>
      <c r="J40" s="288"/>
    </row>
    <row r="41" spans="1:11" ht="18" customHeight="1" x14ac:dyDescent="0.25">
      <c r="A41" s="462"/>
      <c r="B41" s="461"/>
      <c r="C41" s="461"/>
      <c r="D41" s="461"/>
      <c r="E41" s="461"/>
      <c r="F41" s="350"/>
    </row>
    <row r="42" spans="1:11" ht="18" customHeight="1" x14ac:dyDescent="0.25">
      <c r="A42" s="461"/>
      <c r="B42" s="461"/>
      <c r="C42" s="461"/>
      <c r="D42" s="461"/>
      <c r="E42" s="461"/>
      <c r="F42" s="350"/>
    </row>
  </sheetData>
  <sortState xmlns:xlrd2="http://schemas.microsoft.com/office/spreadsheetml/2017/richdata2" ref="C25:F27">
    <sortCondition descending="1" ref="F25:F27"/>
  </sortState>
  <mergeCells count="9">
    <mergeCell ref="A42:E42"/>
    <mergeCell ref="A3:E3"/>
    <mergeCell ref="A4:E4"/>
    <mergeCell ref="A5:E6"/>
    <mergeCell ref="F5:F6"/>
    <mergeCell ref="A38:E38"/>
    <mergeCell ref="A39:E39"/>
    <mergeCell ref="A40:E40"/>
    <mergeCell ref="A41:E41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5597-25EE-4635-A5A8-8CFAE96A931A}">
  <sheetPr>
    <pageSetUpPr fitToPage="1"/>
  </sheetPr>
  <dimension ref="A1:U41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193</v>
      </c>
      <c r="B1" s="157"/>
      <c r="C1" s="157"/>
      <c r="D1" s="157"/>
      <c r="E1" s="157"/>
      <c r="F1" s="158" t="str">
        <f>+'USHE-GOV'!N1</f>
        <v>December 6, 2024</v>
      </c>
      <c r="G1" s="404">
        <v>13343200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96"/>
    </row>
    <row r="4" spans="1:21" ht="15.75" x14ac:dyDescent="0.25">
      <c r="A4" s="486"/>
      <c r="B4" s="486"/>
      <c r="C4" s="486"/>
      <c r="D4" s="486"/>
      <c r="E4" s="486"/>
      <c r="F4" s="397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407700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267300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140400</v>
      </c>
    </row>
    <row r="12" spans="1:21" ht="15.75" customHeight="1" x14ac:dyDescent="0.25">
      <c r="A12" s="171"/>
      <c r="B12" s="300"/>
      <c r="C12" s="164" t="s">
        <v>141</v>
      </c>
      <c r="E12" s="162"/>
      <c r="F12" s="255">
        <f>SUM(F13:F15)</f>
        <v>179600</v>
      </c>
    </row>
    <row r="13" spans="1:21" ht="15.75" customHeight="1" x14ac:dyDescent="0.25">
      <c r="A13" s="171"/>
      <c r="B13" s="300"/>
      <c r="C13" s="164"/>
      <c r="D13" s="365" t="s">
        <v>258</v>
      </c>
      <c r="E13" s="162"/>
      <c r="F13" s="255">
        <v>137200</v>
      </c>
    </row>
    <row r="14" spans="1:21" ht="15.75" customHeight="1" x14ac:dyDescent="0.25">
      <c r="A14" s="171"/>
      <c r="B14" s="300"/>
      <c r="C14" s="164"/>
      <c r="D14" s="365" t="s">
        <v>153</v>
      </c>
      <c r="E14" s="162"/>
      <c r="F14" s="255">
        <v>42400</v>
      </c>
    </row>
    <row r="15" spans="1:21" ht="15.75" hidden="1" customHeight="1" x14ac:dyDescent="0.25">
      <c r="A15" s="171"/>
      <c r="B15" s="300"/>
      <c r="C15" s="164"/>
      <c r="D15" s="430" t="s">
        <v>255</v>
      </c>
      <c r="E15" s="162"/>
      <c r="F15" s="255"/>
    </row>
    <row r="16" spans="1:21" s="288" customFormat="1" ht="15.75" customHeight="1" x14ac:dyDescent="0.25">
      <c r="A16" s="171"/>
      <c r="B16" s="300"/>
      <c r="C16" s="164" t="s">
        <v>48</v>
      </c>
      <c r="D16" s="365"/>
      <c r="E16" s="162"/>
      <c r="F16" s="262">
        <f>SUM(F17:F17)</f>
        <v>-66100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295</v>
      </c>
      <c r="E17" s="162"/>
      <c r="F17" s="255">
        <v>-66100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82"/>
      <c r="B18" s="303"/>
      <c r="C18" s="304"/>
      <c r="D18" s="183"/>
      <c r="E18" s="185"/>
      <c r="F18" s="377"/>
      <c r="K18" s="289"/>
    </row>
    <row r="19" spans="1:21" s="288" customFormat="1" ht="15.75" customHeight="1" x14ac:dyDescent="0.25">
      <c r="A19" s="178"/>
      <c r="B19" s="179"/>
      <c r="C19" s="179"/>
      <c r="D19" s="180"/>
      <c r="E19" s="181"/>
      <c r="F19" s="378"/>
      <c r="K19" s="289"/>
    </row>
    <row r="20" spans="1:21" s="288" customFormat="1" ht="15.75" customHeight="1" x14ac:dyDescent="0.25">
      <c r="A20" s="171"/>
      <c r="B20" s="170" t="s">
        <v>321</v>
      </c>
      <c r="C20" s="170"/>
      <c r="D20" s="170"/>
      <c r="E20" s="172"/>
      <c r="F20" s="379">
        <f>+F12+F16+F9</f>
        <v>521200</v>
      </c>
      <c r="K20" s="289"/>
    </row>
    <row r="21" spans="1:21" ht="15.75" customHeight="1" x14ac:dyDescent="0.25">
      <c r="A21" s="171"/>
      <c r="B21" s="170"/>
      <c r="C21" s="251" t="s">
        <v>177</v>
      </c>
      <c r="D21" s="170"/>
      <c r="E21" s="172"/>
      <c r="F21" s="380">
        <f>+F20/$G$1</f>
        <v>3.9061094789855505E-2</v>
      </c>
    </row>
    <row r="22" spans="1:21" s="320" customFormat="1" ht="15.75" customHeight="1" x14ac:dyDescent="0.25">
      <c r="A22" s="310"/>
      <c r="B22" s="311"/>
      <c r="C22" s="312"/>
      <c r="D22" s="313"/>
      <c r="E22" s="314"/>
      <c r="F22" s="384"/>
    </row>
    <row r="23" spans="1:21" s="320" customFormat="1" ht="15.75" customHeight="1" x14ac:dyDescent="0.25">
      <c r="A23" s="387"/>
      <c r="B23" s="338"/>
      <c r="C23" s="407"/>
      <c r="D23" s="390"/>
      <c r="E23" s="339"/>
      <c r="F23" s="248"/>
      <c r="K23" s="332"/>
    </row>
    <row r="24" spans="1:21" ht="15.75" customHeight="1" x14ac:dyDescent="0.25">
      <c r="A24" s="171"/>
      <c r="B24" s="163" t="s">
        <v>100</v>
      </c>
      <c r="C24" s="300"/>
      <c r="D24" s="251"/>
      <c r="E24" s="162"/>
      <c r="F24" s="383"/>
    </row>
    <row r="25" spans="1:21" s="309" customFormat="1" ht="15.75" hidden="1" customHeight="1" x14ac:dyDescent="0.25">
      <c r="A25" s="160"/>
      <c r="B25" s="251"/>
      <c r="C25" s="430" t="s">
        <v>258</v>
      </c>
      <c r="D25" s="166"/>
      <c r="E25" s="162"/>
      <c r="F25" s="255"/>
      <c r="G25" s="288"/>
      <c r="H25" s="288"/>
      <c r="I25" s="288"/>
      <c r="J25" s="288"/>
    </row>
    <row r="26" spans="1:21" s="309" customFormat="1" ht="15.75" customHeight="1" x14ac:dyDescent="0.25">
      <c r="A26" s="160"/>
      <c r="B26" s="251"/>
      <c r="C26" s="365" t="s">
        <v>295</v>
      </c>
      <c r="D26" s="166"/>
      <c r="E26" s="162"/>
      <c r="F26" s="255">
        <v>66100</v>
      </c>
      <c r="G26" s="288"/>
      <c r="H26" s="288"/>
      <c r="I26" s="288"/>
      <c r="J26" s="288"/>
    </row>
    <row r="27" spans="1:21" s="309" customFormat="1" ht="15.75" customHeight="1" x14ac:dyDescent="0.25">
      <c r="A27" s="184"/>
      <c r="B27" s="183"/>
      <c r="C27" s="405"/>
      <c r="D27" s="304"/>
      <c r="E27" s="185"/>
      <c r="F27" s="406"/>
      <c r="G27" s="288"/>
      <c r="H27" s="288"/>
      <c r="I27" s="288"/>
      <c r="J27" s="288"/>
    </row>
    <row r="28" spans="1:21" s="320" customFormat="1" ht="15.75" customHeight="1" x14ac:dyDescent="0.25">
      <c r="A28" s="321"/>
      <c r="B28" s="322"/>
      <c r="C28" s="323"/>
      <c r="D28" s="324"/>
      <c r="E28" s="339"/>
      <c r="F28" s="248"/>
      <c r="K28" s="332"/>
    </row>
    <row r="29" spans="1:21" s="320" customFormat="1" ht="15.75" customHeight="1" x14ac:dyDescent="0.25">
      <c r="A29" s="321"/>
      <c r="B29" s="333" t="s">
        <v>211</v>
      </c>
      <c r="C29" s="333"/>
      <c r="D29" s="333"/>
      <c r="E29" s="334"/>
      <c r="F29" s="385">
        <f>SUM(F25:F26)</f>
        <v>66100</v>
      </c>
      <c r="K29" s="332"/>
    </row>
    <row r="30" spans="1:21" s="320" customFormat="1" ht="15.75" customHeight="1" x14ac:dyDescent="0.25">
      <c r="A30" s="321"/>
      <c r="B30" s="333"/>
      <c r="C30" s="322" t="s">
        <v>177</v>
      </c>
      <c r="D30" s="333"/>
      <c r="E30" s="334"/>
      <c r="F30" s="380">
        <f>+F29/G1</f>
        <v>4.9538341627195876E-3</v>
      </c>
      <c r="K30" s="332"/>
    </row>
    <row r="31" spans="1:21" s="320" customFormat="1" ht="15.75" customHeight="1" x14ac:dyDescent="0.25">
      <c r="A31" s="335"/>
      <c r="B31" s="311"/>
      <c r="C31" s="311"/>
      <c r="D31" s="311"/>
      <c r="E31" s="314"/>
      <c r="F31" s="386"/>
      <c r="K31" s="332"/>
    </row>
    <row r="32" spans="1:21" s="320" customFormat="1" ht="15.75" customHeight="1" x14ac:dyDescent="0.25">
      <c r="A32" s="387"/>
      <c r="B32" s="338"/>
      <c r="C32" s="338"/>
      <c r="D32" s="338"/>
      <c r="E32" s="338"/>
      <c r="F32" s="388"/>
      <c r="K32" s="332"/>
    </row>
    <row r="33" spans="1:10" s="341" customFormat="1" ht="15.75" customHeight="1" x14ac:dyDescent="0.3">
      <c r="A33" s="273" t="s">
        <v>320</v>
      </c>
      <c r="B33" s="189"/>
      <c r="C33" s="189"/>
      <c r="D33" s="189"/>
      <c r="E33" s="189"/>
      <c r="F33" s="274">
        <f>+F20+F29</f>
        <v>587300</v>
      </c>
      <c r="G33" s="299"/>
      <c r="H33" s="299"/>
      <c r="I33" s="299"/>
      <c r="J33" s="299"/>
    </row>
    <row r="34" spans="1:10" s="341" customFormat="1" ht="15.75" customHeight="1" x14ac:dyDescent="0.25">
      <c r="A34" s="273"/>
      <c r="B34" s="189"/>
      <c r="C34" s="216" t="s">
        <v>177</v>
      </c>
      <c r="D34" s="217"/>
      <c r="E34" s="217"/>
      <c r="F34" s="389">
        <f>+F33/G1</f>
        <v>4.4014928952575097E-2</v>
      </c>
      <c r="G34" s="299"/>
      <c r="H34" s="299"/>
      <c r="I34" s="299"/>
      <c r="J34" s="299"/>
    </row>
    <row r="35" spans="1:10" s="346" customFormat="1" ht="15.75" customHeight="1" x14ac:dyDescent="0.25">
      <c r="A35" s="343"/>
      <c r="B35" s="344"/>
      <c r="C35" s="344"/>
      <c r="D35" s="344"/>
      <c r="E35" s="344"/>
      <c r="F35" s="345"/>
      <c r="G35" s="288"/>
      <c r="H35" s="288"/>
      <c r="I35" s="288"/>
      <c r="J35" s="288"/>
    </row>
    <row r="36" spans="1:10" s="346" customFormat="1" ht="15.75" customHeight="1" x14ac:dyDescent="0.25">
      <c r="A36" s="347"/>
      <c r="B36" s="347"/>
      <c r="C36" s="347"/>
      <c r="D36" s="347"/>
      <c r="E36" s="347"/>
      <c r="G36" s="288"/>
      <c r="H36" s="288"/>
      <c r="I36" s="288"/>
      <c r="J36" s="288"/>
    </row>
    <row r="37" spans="1:10" s="346" customFormat="1" ht="18" customHeight="1" x14ac:dyDescent="0.3">
      <c r="A37" s="459"/>
      <c r="B37" s="459"/>
      <c r="C37" s="459"/>
      <c r="D37" s="459"/>
      <c r="E37" s="459"/>
      <c r="F37" s="370"/>
      <c r="G37" s="288"/>
      <c r="H37" s="288"/>
      <c r="I37" s="288"/>
      <c r="J37" s="288"/>
    </row>
    <row r="38" spans="1:10" s="346" customFormat="1" ht="18" customHeight="1" x14ac:dyDescent="0.25">
      <c r="A38" s="461"/>
      <c r="B38" s="461"/>
      <c r="C38" s="461"/>
      <c r="D38" s="461"/>
      <c r="E38" s="461"/>
      <c r="F38" s="349"/>
      <c r="G38" s="288"/>
      <c r="H38" s="288"/>
      <c r="I38" s="288"/>
      <c r="J38" s="288"/>
    </row>
    <row r="39" spans="1:10" s="346" customFormat="1" ht="18" customHeight="1" x14ac:dyDescent="0.25">
      <c r="A39" s="461"/>
      <c r="B39" s="461"/>
      <c r="C39" s="461"/>
      <c r="D39" s="461"/>
      <c r="E39" s="461"/>
      <c r="F39" s="349"/>
      <c r="G39" s="288"/>
      <c r="H39" s="288"/>
      <c r="I39" s="288"/>
      <c r="J39" s="288"/>
    </row>
    <row r="40" spans="1:10" ht="18" customHeight="1" x14ac:dyDescent="0.25">
      <c r="A40" s="462"/>
      <c r="B40" s="461"/>
      <c r="C40" s="461"/>
      <c r="D40" s="461"/>
      <c r="E40" s="461"/>
      <c r="F40" s="350"/>
    </row>
    <row r="41" spans="1:10" ht="18" customHeight="1" x14ac:dyDescent="0.25">
      <c r="A41" s="461"/>
      <c r="B41" s="461"/>
      <c r="C41" s="461"/>
      <c r="D41" s="461"/>
      <c r="E41" s="461"/>
      <c r="F41" s="350"/>
    </row>
  </sheetData>
  <sortState xmlns:xlrd2="http://schemas.microsoft.com/office/spreadsheetml/2017/richdata2" ref="C25:F26">
    <sortCondition descending="1" ref="F25:F26"/>
  </sortState>
  <mergeCells count="9">
    <mergeCell ref="A41:E41"/>
    <mergeCell ref="A3:E3"/>
    <mergeCell ref="A4:E4"/>
    <mergeCell ref="A5:E6"/>
    <mergeCell ref="F5:F6"/>
    <mergeCell ref="A37:E37"/>
    <mergeCell ref="A38:E38"/>
    <mergeCell ref="A39:E39"/>
    <mergeCell ref="A40:E40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4B95-54A9-4F4C-833A-64600BEADF80}">
  <sheetPr>
    <pageSetUpPr fitToPage="1"/>
  </sheetPr>
  <dimension ref="A1:U58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194</v>
      </c>
      <c r="B1" s="157"/>
      <c r="C1" s="157"/>
      <c r="D1" s="157"/>
      <c r="E1" s="157"/>
      <c r="F1" s="158" t="str">
        <f>+'USHE-GOV'!N1</f>
        <v>December 6, 2024</v>
      </c>
      <c r="G1" s="404">
        <v>137465500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524100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406200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117900</v>
      </c>
    </row>
    <row r="12" spans="1:21" s="288" customFormat="1" ht="15.75" customHeight="1" x14ac:dyDescent="0.25">
      <c r="A12" s="171"/>
      <c r="B12" s="300"/>
      <c r="C12" s="164" t="s">
        <v>208</v>
      </c>
      <c r="D12" s="365"/>
      <c r="E12" s="162"/>
      <c r="F12" s="262">
        <f>SUM(F13:G25)</f>
        <v>12867200</v>
      </c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</row>
    <row r="13" spans="1:21" s="288" customFormat="1" ht="15.75" customHeight="1" x14ac:dyDescent="0.25">
      <c r="A13" s="171"/>
      <c r="B13" s="300"/>
      <c r="C13" s="164"/>
      <c r="D13" s="365" t="s">
        <v>331</v>
      </c>
      <c r="E13" s="162"/>
      <c r="F13" s="262">
        <v>10155000</v>
      </c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</row>
    <row r="14" spans="1:21" s="288" customFormat="1" ht="15.75" customHeight="1" x14ac:dyDescent="0.25">
      <c r="A14" s="171"/>
      <c r="B14" s="300"/>
      <c r="C14" s="164"/>
      <c r="D14" s="365" t="s">
        <v>300</v>
      </c>
      <c r="E14" s="162"/>
      <c r="F14" s="255">
        <v>2000000</v>
      </c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</row>
    <row r="15" spans="1:21" s="288" customFormat="1" ht="15.75" customHeight="1" x14ac:dyDescent="0.25">
      <c r="A15" s="171"/>
      <c r="B15" s="300"/>
      <c r="C15" s="164"/>
      <c r="D15" s="365" t="s">
        <v>284</v>
      </c>
      <c r="E15" s="162"/>
      <c r="F15" s="255">
        <v>140000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300"/>
      <c r="C16" s="164"/>
      <c r="D16" s="365" t="s">
        <v>302</v>
      </c>
      <c r="E16" s="162"/>
      <c r="F16" s="255">
        <v>255600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/>
      <c r="D17" s="365" t="s">
        <v>303</v>
      </c>
      <c r="E17" s="162"/>
      <c r="F17" s="255">
        <v>500000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71"/>
      <c r="B18" s="300"/>
      <c r="C18" s="164"/>
      <c r="D18" s="365" t="s">
        <v>294</v>
      </c>
      <c r="E18" s="162"/>
      <c r="F18" s="255">
        <v>168000</v>
      </c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71"/>
      <c r="B19" s="300"/>
      <c r="C19" s="164"/>
      <c r="D19" s="365" t="s">
        <v>153</v>
      </c>
      <c r="E19" s="162"/>
      <c r="F19" s="255">
        <v>42500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71"/>
      <c r="B20" s="300"/>
      <c r="C20" s="164"/>
      <c r="D20" s="365" t="s">
        <v>295</v>
      </c>
      <c r="E20" s="162"/>
      <c r="F20" s="255">
        <f>-131800-174100-50600-37400</f>
        <v>-393900</v>
      </c>
      <c r="I20" s="372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1" s="288" customFormat="1" ht="15.75" hidden="1" customHeight="1" x14ac:dyDescent="0.25">
      <c r="A21" s="171"/>
      <c r="B21" s="300"/>
      <c r="C21" s="164"/>
      <c r="D21" s="430" t="s">
        <v>277</v>
      </c>
      <c r="E21" s="162"/>
      <c r="F21" s="255"/>
      <c r="I21" s="372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1" s="288" customFormat="1" ht="15.75" hidden="1" customHeight="1" x14ac:dyDescent="0.25">
      <c r="A22" s="171"/>
      <c r="B22" s="300"/>
      <c r="C22" s="164"/>
      <c r="D22" s="430" t="s">
        <v>278</v>
      </c>
      <c r="E22" s="162"/>
      <c r="F22" s="255"/>
      <c r="I22" s="372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</row>
    <row r="23" spans="1:21" s="288" customFormat="1" ht="15.75" hidden="1" customHeight="1" x14ac:dyDescent="0.25">
      <c r="A23" s="171"/>
      <c r="B23" s="300"/>
      <c r="C23" s="164"/>
      <c r="D23" s="430" t="s">
        <v>276</v>
      </c>
      <c r="E23" s="162"/>
      <c r="F23" s="255"/>
      <c r="I23" s="372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</row>
    <row r="24" spans="1:21" s="288" customFormat="1" ht="15.75" hidden="1" customHeight="1" x14ac:dyDescent="0.25">
      <c r="A24" s="171"/>
      <c r="B24" s="300"/>
      <c r="C24" s="164"/>
      <c r="D24" s="430" t="s">
        <v>280</v>
      </c>
      <c r="E24" s="162"/>
      <c r="F24" s="255"/>
      <c r="I24" s="372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</row>
    <row r="25" spans="1:21" s="288" customFormat="1" ht="15.75" hidden="1" customHeight="1" x14ac:dyDescent="0.25">
      <c r="A25" s="171"/>
      <c r="B25" s="300"/>
      <c r="C25" s="164"/>
      <c r="D25" s="430" t="s">
        <v>255</v>
      </c>
      <c r="E25" s="162"/>
      <c r="F25" s="255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</row>
    <row r="26" spans="1:21" s="288" customFormat="1" ht="15.75" customHeight="1" x14ac:dyDescent="0.25">
      <c r="A26" s="182"/>
      <c r="B26" s="303"/>
      <c r="C26" s="304"/>
      <c r="D26" s="183"/>
      <c r="E26" s="185"/>
      <c r="F26" s="377"/>
      <c r="K26" s="289"/>
    </row>
    <row r="27" spans="1:21" s="288" customFormat="1" ht="15.75" customHeight="1" x14ac:dyDescent="0.25">
      <c r="A27" s="178"/>
      <c r="B27" s="179"/>
      <c r="C27" s="179"/>
      <c r="D27" s="180"/>
      <c r="E27" s="181"/>
      <c r="F27" s="378"/>
      <c r="K27" s="289"/>
    </row>
    <row r="28" spans="1:21" s="288" customFormat="1" ht="15.75" customHeight="1" x14ac:dyDescent="0.25">
      <c r="A28" s="171"/>
      <c r="B28" s="170" t="s">
        <v>321</v>
      </c>
      <c r="C28" s="170"/>
      <c r="D28" s="170"/>
      <c r="E28" s="172"/>
      <c r="F28" s="379">
        <f>+F9+F12</f>
        <v>13391300</v>
      </c>
      <c r="K28" s="289"/>
    </row>
    <row r="29" spans="1:21" ht="15.75" customHeight="1" x14ac:dyDescent="0.25">
      <c r="A29" s="171"/>
      <c r="B29" s="170"/>
      <c r="C29" s="251" t="s">
        <v>177</v>
      </c>
      <c r="D29" s="170"/>
      <c r="E29" s="172"/>
      <c r="F29" s="380">
        <f>+F28/$G$1</f>
        <v>9.741571521581778E-2</v>
      </c>
    </row>
    <row r="30" spans="1:21" ht="15.75" customHeight="1" x14ac:dyDescent="0.25">
      <c r="A30" s="182"/>
      <c r="B30" s="183"/>
      <c r="C30" s="183"/>
      <c r="D30" s="183"/>
      <c r="E30" s="185"/>
      <c r="F30" s="381"/>
    </row>
    <row r="31" spans="1:21" s="300" customFormat="1" ht="15.75" customHeight="1" x14ac:dyDescent="0.25">
      <c r="A31" s="178"/>
      <c r="B31" s="186"/>
      <c r="C31" s="186"/>
      <c r="D31" s="186"/>
      <c r="E31" s="188"/>
      <c r="F31" s="382"/>
      <c r="G31" s="371"/>
      <c r="H31" s="371"/>
      <c r="I31" s="371"/>
      <c r="J31" s="371"/>
    </row>
    <row r="32" spans="1:21" ht="15.75" customHeight="1" x14ac:dyDescent="0.25">
      <c r="A32" s="171"/>
      <c r="B32" s="163" t="s">
        <v>100</v>
      </c>
      <c r="C32" s="300"/>
      <c r="D32" s="251"/>
      <c r="E32" s="162"/>
      <c r="F32" s="383"/>
    </row>
    <row r="33" spans="1:11" s="309" customFormat="1" ht="15.75" customHeight="1" x14ac:dyDescent="0.25">
      <c r="A33" s="160"/>
      <c r="B33" s="251"/>
      <c r="C33" s="365" t="s">
        <v>326</v>
      </c>
      <c r="D33" s="166"/>
      <c r="E33" s="162"/>
      <c r="F33" s="255">
        <v>15000000</v>
      </c>
      <c r="G33" s="288"/>
      <c r="H33" s="288"/>
      <c r="I33" s="288"/>
      <c r="J33" s="288"/>
    </row>
    <row r="34" spans="1:11" s="309" customFormat="1" ht="15.75" customHeight="1" x14ac:dyDescent="0.25">
      <c r="A34" s="160"/>
      <c r="B34" s="251"/>
      <c r="C34" s="365" t="s">
        <v>285</v>
      </c>
      <c r="D34" s="166"/>
      <c r="E34" s="162"/>
      <c r="F34" s="255">
        <v>5000000</v>
      </c>
      <c r="G34" s="288"/>
      <c r="H34" s="288"/>
      <c r="I34" s="288"/>
      <c r="J34" s="288"/>
    </row>
    <row r="35" spans="1:11" s="309" customFormat="1" ht="15.75" customHeight="1" x14ac:dyDescent="0.25">
      <c r="A35" s="160"/>
      <c r="B35" s="251"/>
      <c r="C35" s="451" t="s">
        <v>324</v>
      </c>
      <c r="D35" s="451"/>
      <c r="E35" s="452"/>
      <c r="F35" s="255">
        <v>2500000</v>
      </c>
      <c r="G35" s="288"/>
      <c r="H35" s="288"/>
      <c r="I35" s="288"/>
      <c r="J35" s="288"/>
    </row>
    <row r="36" spans="1:11" s="309" customFormat="1" ht="15.75" customHeight="1" x14ac:dyDescent="0.25">
      <c r="A36" s="160"/>
      <c r="B36" s="251"/>
      <c r="C36" s="365" t="s">
        <v>300</v>
      </c>
      <c r="D36" s="166"/>
      <c r="E36" s="162"/>
      <c r="F36" s="255">
        <v>2000000</v>
      </c>
      <c r="G36" s="288"/>
      <c r="H36" s="288"/>
      <c r="I36" s="288"/>
      <c r="J36" s="288"/>
    </row>
    <row r="37" spans="1:11" s="309" customFormat="1" ht="15.75" customHeight="1" x14ac:dyDescent="0.25">
      <c r="A37" s="160"/>
      <c r="B37" s="251"/>
      <c r="C37" s="365" t="s">
        <v>303</v>
      </c>
      <c r="D37" s="166"/>
      <c r="E37" s="162"/>
      <c r="F37" s="255">
        <v>1750000</v>
      </c>
      <c r="G37" s="288"/>
      <c r="H37" s="288"/>
      <c r="I37" s="288"/>
      <c r="J37" s="288"/>
    </row>
    <row r="38" spans="1:11" s="309" customFormat="1" ht="15.75" customHeight="1" x14ac:dyDescent="0.25">
      <c r="A38" s="160"/>
      <c r="B38" s="251"/>
      <c r="C38" s="365" t="s">
        <v>301</v>
      </c>
      <c r="D38" s="166"/>
      <c r="E38" s="162"/>
      <c r="F38" s="255">
        <v>1500000</v>
      </c>
      <c r="G38" s="288"/>
      <c r="H38" s="288"/>
      <c r="I38" s="288"/>
      <c r="J38" s="288"/>
    </row>
    <row r="39" spans="1:11" s="309" customFormat="1" ht="15.75" customHeight="1" x14ac:dyDescent="0.25">
      <c r="A39" s="160"/>
      <c r="B39" s="251"/>
      <c r="C39" s="365" t="s">
        <v>304</v>
      </c>
      <c r="D39" s="166"/>
      <c r="E39" s="162"/>
      <c r="F39" s="255">
        <v>1500000</v>
      </c>
      <c r="G39" s="288"/>
      <c r="H39" s="288"/>
      <c r="I39" s="288"/>
      <c r="J39" s="288"/>
    </row>
    <row r="40" spans="1:11" s="309" customFormat="1" ht="15.75" customHeight="1" x14ac:dyDescent="0.25">
      <c r="A40" s="160"/>
      <c r="B40" s="251"/>
      <c r="C40" s="365" t="s">
        <v>282</v>
      </c>
      <c r="D40" s="166"/>
      <c r="E40" s="162"/>
      <c r="F40" s="255">
        <v>1000000</v>
      </c>
      <c r="G40" s="288"/>
      <c r="H40" s="288"/>
      <c r="I40" s="288"/>
      <c r="J40" s="288"/>
    </row>
    <row r="41" spans="1:11" s="309" customFormat="1" ht="15.75" customHeight="1" x14ac:dyDescent="0.25">
      <c r="A41" s="160"/>
      <c r="B41" s="251"/>
      <c r="C41" s="365" t="s">
        <v>295</v>
      </c>
      <c r="D41" s="166"/>
      <c r="E41" s="162"/>
      <c r="F41" s="255">
        <v>393900</v>
      </c>
      <c r="G41" s="288"/>
      <c r="H41" s="288"/>
      <c r="I41" s="288"/>
      <c r="J41" s="288"/>
    </row>
    <row r="42" spans="1:11" s="309" customFormat="1" ht="15.75" customHeight="1" x14ac:dyDescent="0.25">
      <c r="A42" s="160"/>
      <c r="B42" s="251"/>
      <c r="C42" s="365" t="s">
        <v>284</v>
      </c>
      <c r="D42" s="166"/>
      <c r="E42" s="162"/>
      <c r="F42" s="255">
        <v>280000</v>
      </c>
      <c r="G42" s="288"/>
      <c r="H42" s="288"/>
      <c r="I42" s="288"/>
      <c r="J42" s="288"/>
    </row>
    <row r="43" spans="1:11" s="309" customFormat="1" ht="15.75" customHeight="1" x14ac:dyDescent="0.25">
      <c r="A43" s="160"/>
      <c r="B43" s="251"/>
      <c r="C43" s="451" t="s">
        <v>325</v>
      </c>
      <c r="D43" s="451"/>
      <c r="E43" s="452"/>
      <c r="F43" s="255">
        <v>100000</v>
      </c>
      <c r="G43" s="288"/>
      <c r="H43" s="288"/>
      <c r="I43" s="288"/>
      <c r="J43" s="288"/>
    </row>
    <row r="44" spans="1:11" s="320" customFormat="1" ht="15.75" customHeight="1" x14ac:dyDescent="0.25">
      <c r="A44" s="310"/>
      <c r="B44" s="311"/>
      <c r="C44" s="312"/>
      <c r="D44" s="313"/>
      <c r="E44" s="314"/>
      <c r="F44" s="384"/>
    </row>
    <row r="45" spans="1:11" s="320" customFormat="1" ht="15.75" customHeight="1" x14ac:dyDescent="0.25">
      <c r="A45" s="321"/>
      <c r="B45" s="322"/>
      <c r="C45" s="323"/>
      <c r="D45" s="324"/>
      <c r="E45" s="339"/>
      <c r="F45" s="248"/>
      <c r="K45" s="332"/>
    </row>
    <row r="46" spans="1:11" s="320" customFormat="1" ht="15.75" customHeight="1" x14ac:dyDescent="0.25">
      <c r="A46" s="321"/>
      <c r="B46" s="333" t="s">
        <v>211</v>
      </c>
      <c r="C46" s="333"/>
      <c r="D46" s="333"/>
      <c r="E46" s="334"/>
      <c r="F46" s="385">
        <f>SUM(F33:F43)</f>
        <v>31023900</v>
      </c>
      <c r="I46" s="288"/>
      <c r="J46" s="410"/>
      <c r="K46" s="332"/>
    </row>
    <row r="47" spans="1:11" s="320" customFormat="1" ht="15.75" customHeight="1" x14ac:dyDescent="0.25">
      <c r="A47" s="321"/>
      <c r="B47" s="333"/>
      <c r="C47" s="322" t="s">
        <v>177</v>
      </c>
      <c r="D47" s="333"/>
      <c r="E47" s="334"/>
      <c r="F47" s="380">
        <f>+F46/G1</f>
        <v>0.22568499005204942</v>
      </c>
      <c r="K47" s="332"/>
    </row>
    <row r="48" spans="1:11" s="320" customFormat="1" ht="15.75" customHeight="1" x14ac:dyDescent="0.25">
      <c r="A48" s="335"/>
      <c r="B48" s="311"/>
      <c r="C48" s="311"/>
      <c r="D48" s="311"/>
      <c r="E48" s="314"/>
      <c r="F48" s="386"/>
      <c r="K48" s="332"/>
    </row>
    <row r="49" spans="1:11" s="320" customFormat="1" ht="15.75" customHeight="1" x14ac:dyDescent="0.25">
      <c r="A49" s="387"/>
      <c r="B49" s="338"/>
      <c r="C49" s="338"/>
      <c r="D49" s="338"/>
      <c r="E49" s="338"/>
      <c r="F49" s="388"/>
      <c r="K49" s="332"/>
    </row>
    <row r="50" spans="1:11" s="341" customFormat="1" ht="15.75" customHeight="1" x14ac:dyDescent="0.3">
      <c r="A50" s="273" t="s">
        <v>320</v>
      </c>
      <c r="B50" s="189"/>
      <c r="C50" s="189"/>
      <c r="D50" s="189"/>
      <c r="E50" s="189"/>
      <c r="F50" s="274">
        <f>+F28+F46</f>
        <v>44415200</v>
      </c>
      <c r="G50" s="299"/>
      <c r="H50" s="299"/>
      <c r="I50" s="299"/>
      <c r="J50" s="299"/>
    </row>
    <row r="51" spans="1:11" s="341" customFormat="1" ht="15.75" customHeight="1" x14ac:dyDescent="0.25">
      <c r="A51" s="273"/>
      <c r="B51" s="189"/>
      <c r="C51" s="216" t="s">
        <v>177</v>
      </c>
      <c r="D51" s="217"/>
      <c r="E51" s="217"/>
      <c r="F51" s="389">
        <f>+F50/G1</f>
        <v>0.32310070526786722</v>
      </c>
      <c r="G51" s="299"/>
      <c r="H51" s="299"/>
      <c r="I51" s="299"/>
      <c r="J51" s="299"/>
    </row>
    <row r="52" spans="1:11" s="346" customFormat="1" ht="15.75" customHeight="1" x14ac:dyDescent="0.25">
      <c r="A52" s="343"/>
      <c r="B52" s="344"/>
      <c r="C52" s="344"/>
      <c r="D52" s="344"/>
      <c r="E52" s="344"/>
      <c r="F52" s="345"/>
      <c r="G52" s="288"/>
      <c r="H52" s="288"/>
      <c r="I52" s="288"/>
      <c r="J52" s="288"/>
    </row>
    <row r="53" spans="1:11" s="346" customFormat="1" ht="15.75" customHeight="1" x14ac:dyDescent="0.25">
      <c r="A53" s="347"/>
      <c r="B53" s="347"/>
      <c r="C53" s="347"/>
      <c r="D53" s="347"/>
      <c r="E53" s="347"/>
      <c r="G53" s="288"/>
      <c r="H53" s="288"/>
      <c r="I53" s="288"/>
      <c r="J53" s="288"/>
    </row>
    <row r="54" spans="1:11" s="346" customFormat="1" ht="18" customHeight="1" x14ac:dyDescent="0.3">
      <c r="A54" s="459"/>
      <c r="B54" s="459"/>
      <c r="C54" s="459"/>
      <c r="D54" s="459"/>
      <c r="E54" s="459"/>
      <c r="F54" s="370"/>
      <c r="G54" s="288"/>
      <c r="H54" s="288"/>
      <c r="I54" s="288"/>
      <c r="J54" s="288"/>
    </row>
    <row r="55" spans="1:11" s="346" customFormat="1" ht="18" customHeight="1" x14ac:dyDescent="0.25">
      <c r="A55" s="461"/>
      <c r="B55" s="461"/>
      <c r="C55" s="461"/>
      <c r="D55" s="461"/>
      <c r="E55" s="461"/>
      <c r="F55" s="349"/>
      <c r="G55" s="288"/>
      <c r="H55" s="288"/>
      <c r="I55" s="288"/>
      <c r="J55" s="288"/>
    </row>
    <row r="56" spans="1:11" s="346" customFormat="1" ht="18" customHeight="1" x14ac:dyDescent="0.25">
      <c r="A56" s="461"/>
      <c r="B56" s="461"/>
      <c r="C56" s="461"/>
      <c r="D56" s="461"/>
      <c r="E56" s="461"/>
      <c r="F56" s="349"/>
      <c r="G56" s="288"/>
      <c r="H56" s="288"/>
      <c r="I56" s="288"/>
      <c r="J56" s="288"/>
    </row>
    <row r="57" spans="1:11" ht="18" customHeight="1" x14ac:dyDescent="0.25">
      <c r="A57" s="462"/>
      <c r="B57" s="461"/>
      <c r="C57" s="461"/>
      <c r="D57" s="461"/>
      <c r="E57" s="461"/>
      <c r="F57" s="350"/>
    </row>
    <row r="58" spans="1:11" ht="18" customHeight="1" x14ac:dyDescent="0.25">
      <c r="A58" s="461"/>
      <c r="B58" s="461"/>
      <c r="C58" s="461"/>
      <c r="D58" s="461"/>
      <c r="E58" s="461"/>
      <c r="F58" s="350"/>
    </row>
  </sheetData>
  <sortState xmlns:xlrd2="http://schemas.microsoft.com/office/spreadsheetml/2017/richdata2" ref="C33:F43">
    <sortCondition descending="1" ref="F33:F43"/>
  </sortState>
  <mergeCells count="9">
    <mergeCell ref="A58:E58"/>
    <mergeCell ref="A3:E3"/>
    <mergeCell ref="A4:E4"/>
    <mergeCell ref="A5:E6"/>
    <mergeCell ref="F5:F6"/>
    <mergeCell ref="A54:E54"/>
    <mergeCell ref="A55:E55"/>
    <mergeCell ref="A56:E56"/>
    <mergeCell ref="A57:E57"/>
  </mergeCells>
  <printOptions horizontalCentered="1"/>
  <pageMargins left="0.5" right="0.5" top="0.7" bottom="0.5" header="0.5" footer="0.25"/>
  <pageSetup scale="88"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3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B833-48CE-4DA3-BFA4-7E8ADFB36790}">
  <sheetPr>
    <pageSetUpPr fitToPage="1"/>
  </sheetPr>
  <dimension ref="A1:S68"/>
  <sheetViews>
    <sheetView tabSelected="1" view="pageBreakPreview" zoomScaleNormal="100" zoomScaleSheetLayoutView="100" workbookViewId="0">
      <selection activeCell="D24" sqref="D24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49" style="289" customWidth="1"/>
    <col min="6" max="6" width="2.42578125" style="289" customWidth="1"/>
    <col min="7" max="7" width="12.85546875" style="289" customWidth="1"/>
    <col min="8" max="9" width="2.42578125" style="289" customWidth="1"/>
    <col min="10" max="10" width="12.85546875" style="289" customWidth="1"/>
    <col min="11" max="12" width="2.42578125" style="289" customWidth="1"/>
    <col min="13" max="13" width="12.5703125" style="289" customWidth="1"/>
    <col min="14" max="14" width="2.42578125" style="289" customWidth="1"/>
    <col min="15" max="15" width="14.5703125" style="288" hidden="1" customWidth="1"/>
    <col min="16" max="16" width="15.5703125" style="288" hidden="1" customWidth="1"/>
    <col min="17" max="17" width="15.42578125" style="288" customWidth="1"/>
    <col min="18" max="18" width="13" style="288" customWidth="1"/>
    <col min="19" max="19" width="10.28515625" style="289" bestFit="1" customWidth="1"/>
    <col min="20" max="16384" width="8.28515625" style="289"/>
  </cols>
  <sheetData>
    <row r="1" spans="1:19" ht="19.5" customHeight="1" thickBot="1" x14ac:dyDescent="0.3">
      <c r="A1" s="37" t="s">
        <v>9</v>
      </c>
      <c r="B1" s="157"/>
      <c r="C1" s="157"/>
      <c r="D1" s="157"/>
      <c r="E1" s="157"/>
      <c r="F1" s="460" t="s">
        <v>228</v>
      </c>
      <c r="G1" s="460"/>
      <c r="H1" s="460"/>
      <c r="I1" s="391"/>
      <c r="J1" s="391"/>
      <c r="K1" s="391"/>
      <c r="L1" s="158"/>
      <c r="M1" s="158"/>
      <c r="N1" s="158" t="s">
        <v>347</v>
      </c>
      <c r="O1" s="353">
        <v>1789361400</v>
      </c>
      <c r="P1" s="352" t="s">
        <v>315</v>
      </c>
      <c r="S1" s="352"/>
    </row>
    <row r="2" spans="1:19" ht="30.75" customHeight="1" x14ac:dyDescent="0.35">
      <c r="A2" s="221" t="s">
        <v>332</v>
      </c>
      <c r="B2" s="159"/>
      <c r="C2" s="159"/>
      <c r="D2" s="159"/>
      <c r="E2" s="159"/>
      <c r="F2" s="159"/>
      <c r="G2" s="159"/>
      <c r="H2" s="159"/>
      <c r="I2" s="159"/>
      <c r="J2" s="250"/>
      <c r="K2" s="159"/>
      <c r="L2" s="159"/>
      <c r="M2" s="250"/>
      <c r="N2" s="159"/>
      <c r="Q2" s="290"/>
    </row>
    <row r="3" spans="1:19" ht="15.75" x14ac:dyDescent="0.25">
      <c r="A3" s="463" t="s">
        <v>333</v>
      </c>
      <c r="B3" s="463"/>
      <c r="C3" s="463"/>
      <c r="D3" s="463"/>
      <c r="E3" s="463"/>
      <c r="F3" s="463"/>
      <c r="G3" s="463"/>
      <c r="H3" s="463"/>
      <c r="I3" s="393"/>
      <c r="J3" s="393"/>
      <c r="K3" s="393"/>
      <c r="L3" s="393"/>
      <c r="M3" s="393"/>
      <c r="N3" s="393"/>
    </row>
    <row r="4" spans="1:19" ht="15.75" x14ac:dyDescent="0.25">
      <c r="A4" s="464"/>
      <c r="B4" s="464"/>
      <c r="C4" s="464"/>
      <c r="D4" s="464"/>
      <c r="E4" s="464"/>
      <c r="F4" s="464"/>
      <c r="G4" s="464"/>
      <c r="H4" s="464"/>
      <c r="I4" s="394"/>
      <c r="J4" s="394"/>
      <c r="K4" s="394"/>
      <c r="L4" s="394"/>
      <c r="M4" s="394"/>
      <c r="N4" s="394"/>
    </row>
    <row r="5" spans="1:19" ht="15.75" customHeight="1" x14ac:dyDescent="0.25">
      <c r="A5" s="465" t="s">
        <v>202</v>
      </c>
      <c r="B5" s="466"/>
      <c r="C5" s="466"/>
      <c r="D5" s="466"/>
      <c r="E5" s="467"/>
      <c r="F5" s="471" t="s">
        <v>210</v>
      </c>
      <c r="G5" s="472"/>
      <c r="H5" s="473"/>
      <c r="I5" s="456" t="s">
        <v>213</v>
      </c>
      <c r="J5" s="457"/>
      <c r="K5" s="457"/>
      <c r="L5" s="457"/>
      <c r="M5" s="457"/>
      <c r="N5" s="458"/>
      <c r="R5" s="395"/>
    </row>
    <row r="6" spans="1:19" ht="31.5" x14ac:dyDescent="0.25">
      <c r="A6" s="468"/>
      <c r="B6" s="469"/>
      <c r="C6" s="469"/>
      <c r="D6" s="469"/>
      <c r="E6" s="470"/>
      <c r="F6" s="204"/>
      <c r="G6" s="205" t="s">
        <v>5</v>
      </c>
      <c r="H6" s="206"/>
      <c r="I6" s="161"/>
      <c r="J6" s="253" t="s">
        <v>5</v>
      </c>
      <c r="K6" s="161"/>
      <c r="L6" s="161"/>
      <c r="M6" s="161" t="s">
        <v>334</v>
      </c>
      <c r="N6" s="254"/>
      <c r="S6" s="291"/>
    </row>
    <row r="7" spans="1:19" ht="15.75" customHeight="1" x14ac:dyDescent="0.35">
      <c r="A7" s="219"/>
      <c r="B7" s="292"/>
      <c r="C7" s="292"/>
      <c r="D7" s="292"/>
      <c r="E7" s="293"/>
      <c r="F7" s="160"/>
      <c r="G7" s="215"/>
      <c r="H7" s="162"/>
      <c r="I7" s="294"/>
      <c r="J7" s="295"/>
      <c r="K7" s="296"/>
      <c r="L7" s="296"/>
      <c r="M7" s="296"/>
      <c r="N7" s="297"/>
    </row>
    <row r="8" spans="1:19" ht="15.75" customHeight="1" x14ac:dyDescent="0.25">
      <c r="A8" s="298"/>
      <c r="B8" s="170" t="s">
        <v>180</v>
      </c>
      <c r="C8" s="213"/>
      <c r="D8" s="213"/>
      <c r="E8" s="399"/>
      <c r="F8" s="398"/>
      <c r="G8" s="213"/>
      <c r="H8" s="399"/>
      <c r="I8" s="160"/>
      <c r="J8" s="251"/>
      <c r="K8" s="251"/>
      <c r="L8" s="251"/>
      <c r="M8" s="251"/>
      <c r="N8" s="162"/>
      <c r="Q8" s="299"/>
    </row>
    <row r="9" spans="1:19" ht="15.75" customHeight="1" x14ac:dyDescent="0.25">
      <c r="A9" s="171"/>
      <c r="B9" s="444"/>
      <c r="C9" s="163" t="s">
        <v>7</v>
      </c>
      <c r="D9" s="445"/>
      <c r="E9" s="446"/>
      <c r="F9" s="401"/>
      <c r="G9" s="260">
        <f>SUM(G10:G12)</f>
        <v>50809000</v>
      </c>
      <c r="H9" s="431"/>
      <c r="I9" s="447"/>
      <c r="J9" s="260">
        <f>SUM(J10:J12)</f>
        <v>50809000</v>
      </c>
      <c r="K9" s="448"/>
      <c r="L9" s="260"/>
      <c r="M9" s="260">
        <f t="shared" ref="M9:M26" si="0">+J9-G9</f>
        <v>0</v>
      </c>
      <c r="N9" s="165"/>
      <c r="O9" s="363"/>
    </row>
    <row r="10" spans="1:19" ht="15.75" customHeight="1" x14ac:dyDescent="0.25">
      <c r="A10" s="171"/>
      <c r="B10" s="444"/>
      <c r="C10" s="402"/>
      <c r="D10" s="166" t="s">
        <v>342</v>
      </c>
      <c r="E10" s="399"/>
      <c r="F10" s="398"/>
      <c r="G10" s="218">
        <f>+J10</f>
        <v>38900100</v>
      </c>
      <c r="H10" s="376"/>
      <c r="I10" s="256"/>
      <c r="J10" s="218">
        <v>38900100</v>
      </c>
      <c r="K10" s="366"/>
      <c r="L10" s="257"/>
      <c r="M10" s="257">
        <f t="shared" si="0"/>
        <v>0</v>
      </c>
      <c r="N10" s="167"/>
      <c r="O10" s="395"/>
      <c r="Q10" s="363"/>
    </row>
    <row r="11" spans="1:19" ht="15.75" customHeight="1" x14ac:dyDescent="0.25">
      <c r="A11" s="171"/>
      <c r="B11" s="444"/>
      <c r="C11" s="402"/>
      <c r="D11" s="166" t="s">
        <v>343</v>
      </c>
      <c r="E11" s="399"/>
      <c r="F11" s="398"/>
      <c r="G11" s="257">
        <f>+J11</f>
        <v>11388000</v>
      </c>
      <c r="H11" s="376"/>
      <c r="I11" s="256"/>
      <c r="J11" s="218">
        <v>11388000</v>
      </c>
      <c r="K11" s="366"/>
      <c r="L11" s="257"/>
      <c r="M11" s="257">
        <f t="shared" ref="M11" si="1">+J11-G11</f>
        <v>0</v>
      </c>
      <c r="N11" s="167"/>
      <c r="Q11" s="363"/>
    </row>
    <row r="12" spans="1:19" ht="15.75" customHeight="1" x14ac:dyDescent="0.25">
      <c r="A12" s="171"/>
      <c r="B12" s="444"/>
      <c r="C12" s="402"/>
      <c r="D12" s="166" t="s">
        <v>344</v>
      </c>
      <c r="E12" s="399"/>
      <c r="F12" s="398"/>
      <c r="G12" s="257">
        <f>+J12</f>
        <v>520900</v>
      </c>
      <c r="H12" s="376"/>
      <c r="I12" s="256"/>
      <c r="J12" s="218">
        <v>520900</v>
      </c>
      <c r="K12" s="366"/>
      <c r="L12" s="257"/>
      <c r="M12" s="257">
        <f t="shared" si="0"/>
        <v>0</v>
      </c>
      <c r="N12" s="167"/>
      <c r="Q12" s="363"/>
    </row>
    <row r="13" spans="1:19" ht="15.75" customHeight="1" x14ac:dyDescent="0.25">
      <c r="A13" s="171"/>
      <c r="B13" s="444"/>
      <c r="C13" s="163" t="s">
        <v>339</v>
      </c>
      <c r="D13" s="449"/>
      <c r="E13" s="172"/>
      <c r="F13" s="171"/>
      <c r="G13" s="260">
        <f>SUM(G14:G15)+G17</f>
        <v>14357800</v>
      </c>
      <c r="H13" s="379"/>
      <c r="I13" s="432"/>
      <c r="J13" s="260">
        <f>+J14+J15+J17</f>
        <v>2402000</v>
      </c>
      <c r="K13" s="260"/>
      <c r="L13" s="260"/>
      <c r="M13" s="260">
        <f t="shared" si="0"/>
        <v>-11955800</v>
      </c>
      <c r="N13" s="169"/>
    </row>
    <row r="14" spans="1:19" ht="15.75" customHeight="1" x14ac:dyDescent="0.25">
      <c r="A14" s="171"/>
      <c r="B14" s="444"/>
      <c r="C14" s="163"/>
      <c r="D14" s="437" t="s">
        <v>335</v>
      </c>
      <c r="E14" s="162"/>
      <c r="F14" s="160"/>
      <c r="G14" s="257">
        <v>1350000</v>
      </c>
      <c r="H14" s="379"/>
      <c r="I14" s="432"/>
      <c r="J14" s="257">
        <v>150000</v>
      </c>
      <c r="K14" s="260"/>
      <c r="L14" s="260"/>
      <c r="M14" s="257">
        <f t="shared" si="0"/>
        <v>-1200000</v>
      </c>
      <c r="N14" s="169"/>
    </row>
    <row r="15" spans="1:19" ht="15.75" customHeight="1" x14ac:dyDescent="0.25">
      <c r="A15" s="171"/>
      <c r="B15" s="444"/>
      <c r="C15" s="402"/>
      <c r="D15" s="437" t="s">
        <v>345</v>
      </c>
      <c r="E15" s="162"/>
      <c r="F15" s="160"/>
      <c r="G15" s="257">
        <v>4000000</v>
      </c>
      <c r="H15" s="262"/>
      <c r="I15" s="256"/>
      <c r="J15" s="257">
        <v>0</v>
      </c>
      <c r="K15" s="257"/>
      <c r="L15" s="257"/>
      <c r="M15" s="257">
        <f t="shared" si="0"/>
        <v>-4000000</v>
      </c>
      <c r="N15" s="169"/>
    </row>
    <row r="16" spans="1:19" ht="15.75" hidden="1" customHeight="1" x14ac:dyDescent="0.25">
      <c r="A16" s="171"/>
      <c r="B16" s="444"/>
      <c r="C16" s="402"/>
      <c r="D16" s="437" t="s">
        <v>319</v>
      </c>
      <c r="E16" s="162"/>
      <c r="F16" s="160"/>
      <c r="G16" s="257">
        <f>169200+192100+108900+235200+195300+40500+59900+50900+68100+169200+236200+108900+235200+195300+40500+59900+50900+68100+57000+57000</f>
        <v>2398300</v>
      </c>
      <c r="H16" s="262"/>
      <c r="I16" s="256"/>
      <c r="J16" s="257">
        <v>0</v>
      </c>
      <c r="K16" s="257"/>
      <c r="L16" s="257"/>
      <c r="M16" s="257">
        <f t="shared" si="0"/>
        <v>-2398300</v>
      </c>
      <c r="N16" s="169"/>
    </row>
    <row r="17" spans="1:18" ht="15.75" customHeight="1" x14ac:dyDescent="0.25">
      <c r="A17" s="171"/>
      <c r="B17" s="444"/>
      <c r="C17" s="402"/>
      <c r="D17" s="437" t="s">
        <v>341</v>
      </c>
      <c r="E17" s="162"/>
      <c r="F17" s="160"/>
      <c r="G17" s="257">
        <v>9007800</v>
      </c>
      <c r="H17" s="262"/>
      <c r="I17" s="256"/>
      <c r="J17" s="257">
        <v>2252000</v>
      </c>
      <c r="K17" s="257"/>
      <c r="L17" s="257"/>
      <c r="M17" s="257">
        <f>+J17-G17</f>
        <v>-6755800</v>
      </c>
      <c r="N17" s="169"/>
    </row>
    <row r="18" spans="1:18" ht="15.75" customHeight="1" x14ac:dyDescent="0.25">
      <c r="A18" s="171"/>
      <c r="B18" s="444"/>
      <c r="C18" s="163" t="s">
        <v>340</v>
      </c>
      <c r="D18" s="449"/>
      <c r="E18" s="172"/>
      <c r="F18" s="171"/>
      <c r="G18" s="260">
        <f>SUM(G19:G20)+SUM(G22:G22)</f>
        <v>18375100</v>
      </c>
      <c r="H18" s="379"/>
      <c r="I18" s="432"/>
      <c r="J18" s="260">
        <f>SUM(J19:J20)+SUM(J22:J22)</f>
        <v>2135100</v>
      </c>
      <c r="K18" s="260"/>
      <c r="L18" s="260"/>
      <c r="M18" s="260">
        <f t="shared" si="0"/>
        <v>-16240000</v>
      </c>
      <c r="N18" s="169"/>
    </row>
    <row r="19" spans="1:18" ht="15.75" customHeight="1" x14ac:dyDescent="0.25">
      <c r="A19" s="171"/>
      <c r="B19" s="444"/>
      <c r="C19" s="163"/>
      <c r="D19" s="437" t="s">
        <v>337</v>
      </c>
      <c r="E19" s="172"/>
      <c r="F19" s="171"/>
      <c r="G19" s="257">
        <f>933900+1048700+152500</f>
        <v>2135100</v>
      </c>
      <c r="H19" s="379"/>
      <c r="I19" s="432"/>
      <c r="J19" s="257">
        <v>2135100</v>
      </c>
      <c r="K19" s="260"/>
      <c r="L19" s="260"/>
      <c r="M19" s="257">
        <f t="shared" si="0"/>
        <v>0</v>
      </c>
      <c r="N19" s="169"/>
    </row>
    <row r="20" spans="1:18" s="412" customFormat="1" ht="15.75" customHeight="1" x14ac:dyDescent="0.25">
      <c r="A20" s="171"/>
      <c r="B20" s="444"/>
      <c r="C20" s="402"/>
      <c r="D20" s="437" t="s">
        <v>345</v>
      </c>
      <c r="E20" s="162"/>
      <c r="F20" s="160"/>
      <c r="G20" s="257">
        <v>16000000</v>
      </c>
      <c r="H20" s="262"/>
      <c r="I20" s="256"/>
      <c r="J20" s="257">
        <v>0</v>
      </c>
      <c r="K20" s="257"/>
      <c r="L20" s="257"/>
      <c r="M20" s="257">
        <f t="shared" si="0"/>
        <v>-16000000</v>
      </c>
      <c r="N20" s="169"/>
      <c r="O20" s="352"/>
      <c r="P20" s="352"/>
      <c r="Q20" s="352"/>
      <c r="R20" s="352"/>
    </row>
    <row r="21" spans="1:18" s="412" customFormat="1" ht="15.75" hidden="1" customHeight="1" x14ac:dyDescent="0.25">
      <c r="A21" s="171"/>
      <c r="B21" s="444"/>
      <c r="C21" s="402"/>
      <c r="D21" s="437" t="s">
        <v>319</v>
      </c>
      <c r="E21" s="162"/>
      <c r="F21" s="160"/>
      <c r="G21" s="257">
        <f>502100+147100+372300+1013200+868600+551400+422100+54500+372300+1013200+288400+1590300+115700</f>
        <v>7311200</v>
      </c>
      <c r="H21" s="262"/>
      <c r="I21" s="256"/>
      <c r="J21" s="257">
        <v>0</v>
      </c>
      <c r="K21" s="257"/>
      <c r="L21" s="257"/>
      <c r="M21" s="257">
        <f t="shared" si="0"/>
        <v>-7311200</v>
      </c>
      <c r="N21" s="169"/>
      <c r="O21" s="352"/>
      <c r="P21" s="352"/>
      <c r="Q21" s="352"/>
      <c r="R21" s="352"/>
    </row>
    <row r="22" spans="1:18" s="412" customFormat="1" ht="15.75" customHeight="1" x14ac:dyDescent="0.25">
      <c r="A22" s="171"/>
      <c r="B22" s="444"/>
      <c r="C22" s="402"/>
      <c r="D22" s="437" t="s">
        <v>348</v>
      </c>
      <c r="E22" s="399"/>
      <c r="F22" s="398"/>
      <c r="G22" s="257">
        <v>240000</v>
      </c>
      <c r="H22" s="262"/>
      <c r="I22" s="256"/>
      <c r="J22" s="257">
        <v>0</v>
      </c>
      <c r="K22" s="257"/>
      <c r="L22" s="257"/>
      <c r="M22" s="257">
        <f t="shared" si="0"/>
        <v>-240000</v>
      </c>
      <c r="N22" s="169"/>
      <c r="O22" s="352"/>
      <c r="P22" s="352"/>
      <c r="Q22" s="352"/>
      <c r="R22" s="352"/>
    </row>
    <row r="23" spans="1:18" ht="15.75" customHeight="1" x14ac:dyDescent="0.25">
      <c r="A23" s="171"/>
      <c r="B23" s="444"/>
      <c r="C23" s="163" t="s">
        <v>208</v>
      </c>
      <c r="D23" s="449"/>
      <c r="E23" s="172"/>
      <c r="F23" s="171"/>
      <c r="G23" s="260">
        <f>SUM(G24:G24)</f>
        <v>4000000</v>
      </c>
      <c r="H23" s="431"/>
      <c r="I23" s="432"/>
      <c r="J23" s="260">
        <f>+J24</f>
        <v>0</v>
      </c>
      <c r="K23" s="260"/>
      <c r="L23" s="260"/>
      <c r="M23" s="260">
        <f t="shared" si="0"/>
        <v>-4000000</v>
      </c>
      <c r="N23" s="169"/>
    </row>
    <row r="24" spans="1:18" s="412" customFormat="1" ht="15.75" customHeight="1" x14ac:dyDescent="0.25">
      <c r="A24" s="171"/>
      <c r="B24" s="444"/>
      <c r="C24" s="164"/>
      <c r="D24" s="437" t="s">
        <v>336</v>
      </c>
      <c r="E24" s="162"/>
      <c r="F24" s="160"/>
      <c r="G24" s="257">
        <v>4000000</v>
      </c>
      <c r="H24" s="285"/>
      <c r="I24" s="256"/>
      <c r="J24" s="257">
        <v>0</v>
      </c>
      <c r="K24" s="257"/>
      <c r="L24" s="257"/>
      <c r="M24" s="257">
        <f t="shared" si="0"/>
        <v>-4000000</v>
      </c>
      <c r="N24" s="169"/>
      <c r="O24" s="352"/>
      <c r="P24" s="352"/>
      <c r="Q24" s="352"/>
      <c r="R24" s="352"/>
    </row>
    <row r="25" spans="1:18" ht="15.75" customHeight="1" x14ac:dyDescent="0.25">
      <c r="A25" s="171"/>
      <c r="B25" s="444"/>
      <c r="C25" s="163" t="s">
        <v>48</v>
      </c>
      <c r="D25" s="450"/>
      <c r="E25" s="172"/>
      <c r="F25" s="171"/>
      <c r="G25" s="260">
        <f>SUM(G26:G46)</f>
        <v>4692200</v>
      </c>
      <c r="H25" s="431"/>
      <c r="I25" s="432"/>
      <c r="J25" s="261">
        <f>SUM(J26:J46)</f>
        <v>0</v>
      </c>
      <c r="K25" s="433"/>
      <c r="L25" s="260"/>
      <c r="M25" s="260">
        <f t="shared" si="0"/>
        <v>-4692200</v>
      </c>
      <c r="N25" s="169"/>
    </row>
    <row r="26" spans="1:18" ht="15.75" customHeight="1" x14ac:dyDescent="0.25">
      <c r="A26" s="171"/>
      <c r="B26" s="444"/>
      <c r="C26" s="402"/>
      <c r="D26" s="437" t="s">
        <v>346</v>
      </c>
      <c r="E26" s="399"/>
      <c r="F26" s="398"/>
      <c r="G26" s="257">
        <v>4692200</v>
      </c>
      <c r="H26" s="285"/>
      <c r="I26" s="256"/>
      <c r="J26" s="257">
        <v>0</v>
      </c>
      <c r="K26" s="366"/>
      <c r="L26" s="257"/>
      <c r="M26" s="257">
        <f t="shared" si="0"/>
        <v>-4692200</v>
      </c>
      <c r="N26" s="169"/>
    </row>
    <row r="27" spans="1:18" ht="15.75" hidden="1" customHeight="1" x14ac:dyDescent="0.25">
      <c r="A27" s="171"/>
      <c r="B27" s="444"/>
      <c r="C27" s="402"/>
      <c r="D27" s="439"/>
      <c r="E27" s="399"/>
      <c r="F27" s="398"/>
      <c r="G27" s="366"/>
      <c r="H27" s="285"/>
      <c r="I27" s="256"/>
      <c r="J27" s="257"/>
      <c r="K27" s="257"/>
      <c r="L27" s="257"/>
      <c r="M27" s="257"/>
      <c r="N27" s="169"/>
    </row>
    <row r="28" spans="1:18" ht="15.75" hidden="1" customHeight="1" x14ac:dyDescent="0.25">
      <c r="A28" s="171"/>
      <c r="B28" s="444"/>
      <c r="C28" s="402"/>
      <c r="D28" s="439"/>
      <c r="E28" s="399"/>
      <c r="F28" s="398"/>
      <c r="G28" s="366"/>
      <c r="H28" s="285"/>
      <c r="I28" s="256"/>
      <c r="J28" s="257"/>
      <c r="K28" s="257"/>
      <c r="L28" s="257"/>
      <c r="M28" s="257"/>
      <c r="N28" s="169"/>
    </row>
    <row r="29" spans="1:18" ht="15.75" hidden="1" customHeight="1" x14ac:dyDescent="0.25">
      <c r="A29" s="171"/>
      <c r="B29" s="444"/>
      <c r="C29" s="402"/>
      <c r="D29" s="439"/>
      <c r="E29" s="399"/>
      <c r="F29" s="398"/>
      <c r="G29" s="366"/>
      <c r="H29" s="285"/>
      <c r="I29" s="256"/>
      <c r="J29" s="257"/>
      <c r="K29" s="257"/>
      <c r="L29" s="257"/>
      <c r="M29" s="257"/>
      <c r="N29" s="169"/>
    </row>
    <row r="30" spans="1:18" ht="15.75" hidden="1" customHeight="1" x14ac:dyDescent="0.25">
      <c r="A30" s="171"/>
      <c r="B30" s="444"/>
      <c r="C30" s="402"/>
      <c r="D30" s="439"/>
      <c r="E30" s="399"/>
      <c r="F30" s="398"/>
      <c r="G30" s="366"/>
      <c r="H30" s="285"/>
      <c r="I30" s="256"/>
      <c r="J30" s="257"/>
      <c r="K30" s="257"/>
      <c r="L30" s="257"/>
      <c r="M30" s="257"/>
      <c r="N30" s="169"/>
    </row>
    <row r="31" spans="1:18" ht="15.75" hidden="1" customHeight="1" x14ac:dyDescent="0.25">
      <c r="A31" s="171"/>
      <c r="B31" s="444"/>
      <c r="C31" s="402"/>
      <c r="D31" s="439"/>
      <c r="E31" s="399"/>
      <c r="F31" s="398"/>
      <c r="G31" s="366"/>
      <c r="H31" s="285"/>
      <c r="I31" s="256"/>
      <c r="J31" s="257"/>
      <c r="K31" s="257"/>
      <c r="L31" s="257"/>
      <c r="M31" s="257"/>
      <c r="N31" s="169"/>
    </row>
    <row r="32" spans="1:18" ht="15.75" hidden="1" customHeight="1" x14ac:dyDescent="0.25">
      <c r="A32" s="171"/>
      <c r="B32" s="444"/>
      <c r="C32" s="402"/>
      <c r="D32" s="439"/>
      <c r="E32" s="399"/>
      <c r="F32" s="398"/>
      <c r="G32" s="366"/>
      <c r="H32" s="285"/>
      <c r="I32" s="256"/>
      <c r="J32" s="257"/>
      <c r="K32" s="257"/>
      <c r="L32" s="257"/>
      <c r="M32" s="257"/>
      <c r="N32" s="169"/>
    </row>
    <row r="33" spans="1:19" ht="15.75" hidden="1" customHeight="1" x14ac:dyDescent="0.25">
      <c r="A33" s="171"/>
      <c r="B33" s="444"/>
      <c r="C33" s="402"/>
      <c r="D33" s="439"/>
      <c r="E33" s="399"/>
      <c r="F33" s="398"/>
      <c r="G33" s="366"/>
      <c r="H33" s="285"/>
      <c r="I33" s="256"/>
      <c r="J33" s="257"/>
      <c r="K33" s="366"/>
      <c r="L33" s="257"/>
      <c r="M33" s="257"/>
      <c r="N33" s="169"/>
    </row>
    <row r="34" spans="1:19" ht="15.75" hidden="1" customHeight="1" x14ac:dyDescent="0.25">
      <c r="A34" s="171"/>
      <c r="B34" s="444"/>
      <c r="C34" s="402"/>
      <c r="D34" s="439"/>
      <c r="E34" s="399"/>
      <c r="F34" s="398"/>
      <c r="G34" s="366"/>
      <c r="H34" s="285"/>
      <c r="I34" s="256"/>
      <c r="J34" s="257"/>
      <c r="K34" s="366"/>
      <c r="L34" s="257"/>
      <c r="M34" s="257"/>
      <c r="N34" s="169"/>
    </row>
    <row r="35" spans="1:19" ht="15.75" hidden="1" customHeight="1" x14ac:dyDescent="0.25">
      <c r="A35" s="171"/>
      <c r="B35" s="444"/>
      <c r="C35" s="402"/>
      <c r="D35" s="439"/>
      <c r="E35" s="399"/>
      <c r="F35" s="398"/>
      <c r="G35" s="366"/>
      <c r="H35" s="285"/>
      <c r="I35" s="256"/>
      <c r="J35" s="257"/>
      <c r="K35" s="366"/>
      <c r="L35" s="257"/>
      <c r="M35" s="257"/>
      <c r="N35" s="169"/>
    </row>
    <row r="36" spans="1:19" s="400" customFormat="1" ht="15.75" hidden="1" customHeight="1" x14ac:dyDescent="0.25">
      <c r="A36" s="401"/>
      <c r="B36" s="444"/>
      <c r="C36" s="402"/>
      <c r="D36" s="439"/>
      <c r="E36" s="399"/>
      <c r="F36" s="398"/>
      <c r="G36" s="366"/>
      <c r="H36" s="285"/>
      <c r="I36" s="256"/>
      <c r="J36" s="257"/>
      <c r="K36" s="257"/>
      <c r="L36" s="257"/>
      <c r="M36" s="257"/>
      <c r="N36" s="403"/>
      <c r="O36" s="363"/>
      <c r="P36" s="363"/>
      <c r="Q36" s="363"/>
      <c r="R36" s="363"/>
    </row>
    <row r="37" spans="1:19" ht="15.75" hidden="1" customHeight="1" x14ac:dyDescent="0.25">
      <c r="A37" s="171"/>
      <c r="B37" s="444"/>
      <c r="C37" s="402"/>
      <c r="D37" s="439"/>
      <c r="E37" s="399"/>
      <c r="F37" s="398"/>
      <c r="G37" s="366"/>
      <c r="H37" s="285"/>
      <c r="I37" s="256"/>
      <c r="J37" s="257"/>
      <c r="K37" s="257"/>
      <c r="L37" s="257"/>
      <c r="M37" s="257"/>
      <c r="N37" s="169"/>
    </row>
    <row r="38" spans="1:19" ht="15.75" hidden="1" customHeight="1" x14ac:dyDescent="0.25">
      <c r="A38" s="171"/>
      <c r="B38" s="435"/>
      <c r="C38" s="164"/>
      <c r="D38" s="437"/>
      <c r="E38" s="162"/>
      <c r="F38" s="160"/>
      <c r="G38" s="257">
        <v>0</v>
      </c>
      <c r="H38" s="262"/>
      <c r="I38" s="256"/>
      <c r="J38" s="257">
        <v>0</v>
      </c>
      <c r="K38" s="366"/>
      <c r="L38" s="257"/>
      <c r="M38" s="257">
        <f t="shared" ref="M38:M46" si="2">+J38-G38</f>
        <v>0</v>
      </c>
      <c r="N38" s="169"/>
    </row>
    <row r="39" spans="1:19" ht="15.75" hidden="1" customHeight="1" x14ac:dyDescent="0.25">
      <c r="A39" s="171"/>
      <c r="B39" s="435"/>
      <c r="C39" s="164"/>
      <c r="D39" s="437"/>
      <c r="E39" s="162"/>
      <c r="F39" s="160"/>
      <c r="G39" s="257">
        <v>0</v>
      </c>
      <c r="H39" s="262"/>
      <c r="I39" s="256"/>
      <c r="J39" s="257">
        <v>0</v>
      </c>
      <c r="K39" s="366"/>
      <c r="L39" s="257"/>
      <c r="M39" s="257">
        <f t="shared" si="2"/>
        <v>0</v>
      </c>
      <c r="N39" s="169"/>
    </row>
    <row r="40" spans="1:19" ht="15.75" hidden="1" customHeight="1" x14ac:dyDescent="0.25">
      <c r="A40" s="171"/>
      <c r="B40" s="435"/>
      <c r="C40" s="164"/>
      <c r="D40" s="437"/>
      <c r="E40" s="162"/>
      <c r="F40" s="160"/>
      <c r="G40" s="257">
        <v>0</v>
      </c>
      <c r="H40" s="262"/>
      <c r="I40" s="256"/>
      <c r="J40" s="257">
        <v>0</v>
      </c>
      <c r="K40" s="366"/>
      <c r="L40" s="257"/>
      <c r="M40" s="257">
        <f t="shared" si="2"/>
        <v>0</v>
      </c>
      <c r="N40" s="169"/>
    </row>
    <row r="41" spans="1:19" ht="15.75" hidden="1" customHeight="1" x14ac:dyDescent="0.25">
      <c r="A41" s="171"/>
      <c r="B41" s="435"/>
      <c r="C41" s="164"/>
      <c r="D41" s="437"/>
      <c r="E41" s="162"/>
      <c r="F41" s="160"/>
      <c r="G41" s="257">
        <v>0</v>
      </c>
      <c r="H41" s="262"/>
      <c r="I41" s="256"/>
      <c r="J41" s="257">
        <v>0</v>
      </c>
      <c r="K41" s="366"/>
      <c r="L41" s="257"/>
      <c r="M41" s="257">
        <f t="shared" si="2"/>
        <v>0</v>
      </c>
      <c r="N41" s="169"/>
      <c r="Q41" s="372"/>
    </row>
    <row r="42" spans="1:19" ht="15.75" hidden="1" customHeight="1" x14ac:dyDescent="0.25">
      <c r="A42" s="171"/>
      <c r="B42" s="435"/>
      <c r="C42" s="164"/>
      <c r="D42" s="437"/>
      <c r="E42" s="162"/>
      <c r="F42" s="160"/>
      <c r="G42" s="257">
        <v>0</v>
      </c>
      <c r="H42" s="262"/>
      <c r="I42" s="256"/>
      <c r="J42" s="257">
        <v>0</v>
      </c>
      <c r="K42" s="366"/>
      <c r="L42" s="257"/>
      <c r="M42" s="257">
        <f t="shared" si="2"/>
        <v>0</v>
      </c>
      <c r="N42" s="169"/>
    </row>
    <row r="43" spans="1:19" ht="15.75" hidden="1" customHeight="1" x14ac:dyDescent="0.25">
      <c r="A43" s="171"/>
      <c r="B43" s="435"/>
      <c r="C43" s="164"/>
      <c r="D43" s="437"/>
      <c r="E43" s="162"/>
      <c r="F43" s="160"/>
      <c r="G43" s="257">
        <v>0</v>
      </c>
      <c r="H43" s="262"/>
      <c r="I43" s="256"/>
      <c r="J43" s="257">
        <v>0</v>
      </c>
      <c r="K43" s="366"/>
      <c r="L43" s="257"/>
      <c r="M43" s="257">
        <f t="shared" si="2"/>
        <v>0</v>
      </c>
      <c r="N43" s="169"/>
    </row>
    <row r="44" spans="1:19" ht="15.75" hidden="1" customHeight="1" x14ac:dyDescent="0.25">
      <c r="A44" s="171"/>
      <c r="B44" s="435"/>
      <c r="C44" s="164"/>
      <c r="D44" s="437"/>
      <c r="E44" s="162"/>
      <c r="F44" s="160"/>
      <c r="G44" s="257">
        <v>0</v>
      </c>
      <c r="H44" s="262"/>
      <c r="I44" s="256"/>
      <c r="J44" s="257">
        <v>0</v>
      </c>
      <c r="K44" s="366"/>
      <c r="L44" s="257"/>
      <c r="M44" s="257">
        <f t="shared" si="2"/>
        <v>0</v>
      </c>
      <c r="N44" s="169"/>
    </row>
    <row r="45" spans="1:19" ht="15.75" hidden="1" customHeight="1" x14ac:dyDescent="0.25">
      <c r="A45" s="171"/>
      <c r="B45" s="435"/>
      <c r="C45" s="164"/>
      <c r="D45" s="437"/>
      <c r="E45" s="162"/>
      <c r="F45" s="160"/>
      <c r="G45" s="257">
        <v>0</v>
      </c>
      <c r="H45" s="262"/>
      <c r="I45" s="256"/>
      <c r="J45" s="257">
        <v>0</v>
      </c>
      <c r="K45" s="366"/>
      <c r="L45" s="257"/>
      <c r="M45" s="257">
        <f t="shared" si="2"/>
        <v>0</v>
      </c>
      <c r="N45" s="169"/>
    </row>
    <row r="46" spans="1:19" ht="15.75" hidden="1" customHeight="1" x14ac:dyDescent="0.25">
      <c r="A46" s="171"/>
      <c r="B46" s="435"/>
      <c r="C46" s="164"/>
      <c r="D46" s="437"/>
      <c r="E46" s="162"/>
      <c r="F46" s="160"/>
      <c r="G46" s="257">
        <v>0</v>
      </c>
      <c r="H46" s="262"/>
      <c r="I46" s="256"/>
      <c r="J46" s="257">
        <v>0</v>
      </c>
      <c r="K46" s="366"/>
      <c r="L46" s="257"/>
      <c r="M46" s="257">
        <f t="shared" si="2"/>
        <v>0</v>
      </c>
      <c r="N46" s="169"/>
    </row>
    <row r="47" spans="1:19" s="288" customFormat="1" ht="15.75" customHeight="1" x14ac:dyDescent="0.25">
      <c r="A47" s="182"/>
      <c r="B47" s="303"/>
      <c r="C47" s="304"/>
      <c r="D47" s="183"/>
      <c r="E47" s="185"/>
      <c r="F47" s="160"/>
      <c r="G47" s="177"/>
      <c r="H47" s="162"/>
      <c r="I47" s="268"/>
      <c r="J47" s="305"/>
      <c r="K47" s="305"/>
      <c r="L47" s="306"/>
      <c r="M47" s="306"/>
      <c r="N47" s="207"/>
      <c r="S47" s="289"/>
    </row>
    <row r="48" spans="1:19" s="288" customFormat="1" ht="15.75" customHeight="1" x14ac:dyDescent="0.25">
      <c r="A48" s="178"/>
      <c r="B48" s="179"/>
      <c r="C48" s="179"/>
      <c r="D48" s="180"/>
      <c r="E48" s="181"/>
      <c r="F48" s="178"/>
      <c r="G48" s="180"/>
      <c r="H48" s="181"/>
      <c r="I48" s="170"/>
      <c r="J48" s="264"/>
      <c r="K48" s="264"/>
      <c r="L48" s="264"/>
      <c r="M48" s="264"/>
      <c r="N48" s="172"/>
      <c r="S48" s="289"/>
    </row>
    <row r="49" spans="1:19" s="288" customFormat="1" ht="15.75" customHeight="1" x14ac:dyDescent="0.25">
      <c r="A49" s="171"/>
      <c r="B49" s="170" t="s">
        <v>321</v>
      </c>
      <c r="C49" s="170"/>
      <c r="D49" s="170"/>
      <c r="E49" s="172"/>
      <c r="F49" s="171"/>
      <c r="G49" s="261">
        <f>+G23+G18+G13+G25+G9</f>
        <v>92234100</v>
      </c>
      <c r="H49" s="172"/>
      <c r="I49" s="174"/>
      <c r="J49" s="261">
        <f>+J23+J18+J13+J25+J9</f>
        <v>55346100</v>
      </c>
      <c r="K49" s="367"/>
      <c r="L49" s="174"/>
      <c r="M49" s="261">
        <f>+M23+M18+M13+M25+M9</f>
        <v>-36888000</v>
      </c>
      <c r="N49" s="175"/>
      <c r="S49" s="289"/>
    </row>
    <row r="50" spans="1:19" ht="15.75" customHeight="1" x14ac:dyDescent="0.25">
      <c r="A50" s="171"/>
      <c r="B50" s="170"/>
      <c r="C50" s="251" t="s">
        <v>177</v>
      </c>
      <c r="D50" s="170"/>
      <c r="E50" s="172"/>
      <c r="F50" s="171"/>
      <c r="G50" s="307">
        <f>+G49/$O$1</f>
        <v>5.1545819642694876E-2</v>
      </c>
      <c r="H50" s="172"/>
      <c r="I50" s="174"/>
      <c r="J50" s="307">
        <f>+J49/$O$1</f>
        <v>3.0930643748099181E-2</v>
      </c>
      <c r="K50" s="369"/>
      <c r="L50" s="173"/>
      <c r="M50" s="307">
        <f>+M49/O1</f>
        <v>-2.0615175894595692E-2</v>
      </c>
      <c r="N50" s="175"/>
    </row>
    <row r="51" spans="1:19" ht="15.75" customHeight="1" x14ac:dyDescent="0.25">
      <c r="A51" s="182"/>
      <c r="B51" s="183"/>
      <c r="C51" s="183"/>
      <c r="D51" s="183"/>
      <c r="E51" s="185"/>
      <c r="F51" s="184"/>
      <c r="G51" s="183"/>
      <c r="H51" s="185"/>
      <c r="I51" s="183"/>
      <c r="J51" s="265"/>
      <c r="K51" s="265"/>
      <c r="L51" s="265"/>
      <c r="M51" s="265"/>
      <c r="N51" s="185"/>
    </row>
    <row r="52" spans="1:19" s="300" customFormat="1" ht="15.75" customHeight="1" x14ac:dyDescent="0.25">
      <c r="A52" s="178"/>
      <c r="B52" s="186"/>
      <c r="C52" s="186"/>
      <c r="D52" s="186"/>
      <c r="E52" s="186"/>
      <c r="F52" s="187"/>
      <c r="G52" s="186"/>
      <c r="H52" s="186"/>
      <c r="I52" s="187"/>
      <c r="J52" s="266"/>
      <c r="K52" s="266"/>
      <c r="L52" s="266"/>
      <c r="M52" s="266"/>
      <c r="N52" s="188"/>
      <c r="O52" s="371"/>
      <c r="P52" s="371"/>
      <c r="Q52" s="371"/>
      <c r="R52" s="371"/>
    </row>
    <row r="53" spans="1:19" ht="15.75" customHeight="1" x14ac:dyDescent="0.25">
      <c r="A53" s="171"/>
      <c r="B53" s="163" t="s">
        <v>100</v>
      </c>
      <c r="C53" s="435"/>
      <c r="D53" s="251"/>
      <c r="E53" s="162"/>
      <c r="F53" s="160"/>
      <c r="G53" s="173"/>
      <c r="H53" s="162"/>
      <c r="I53" s="160"/>
      <c r="J53" s="368"/>
      <c r="K53" s="213"/>
      <c r="L53" s="213"/>
      <c r="M53" s="368"/>
      <c r="N53" s="162"/>
    </row>
    <row r="54" spans="1:19" s="412" customFormat="1" ht="15.75" customHeight="1" x14ac:dyDescent="0.25">
      <c r="A54" s="160"/>
      <c r="B54" s="251"/>
      <c r="C54" s="437" t="s">
        <v>338</v>
      </c>
      <c r="D54" s="166"/>
      <c r="E54" s="162"/>
      <c r="F54" s="160"/>
      <c r="G54" s="257">
        <v>1000000</v>
      </c>
      <c r="H54" s="255"/>
      <c r="I54" s="308"/>
      <c r="J54" s="257">
        <v>1000000</v>
      </c>
      <c r="K54" s="257"/>
      <c r="L54" s="257"/>
      <c r="M54" s="257">
        <f t="shared" ref="M54" si="3">+J54-G54</f>
        <v>0</v>
      </c>
      <c r="N54" s="162"/>
      <c r="O54" s="352"/>
      <c r="P54" s="352"/>
      <c r="Q54" s="352"/>
      <c r="R54" s="352"/>
    </row>
    <row r="55" spans="1:19" s="320" customFormat="1" ht="15.75" customHeight="1" x14ac:dyDescent="0.25">
      <c r="A55" s="310"/>
      <c r="B55" s="311"/>
      <c r="C55" s="312"/>
      <c r="D55" s="313"/>
      <c r="E55" s="314"/>
      <c r="F55" s="310"/>
      <c r="G55" s="315"/>
      <c r="H55" s="316"/>
      <c r="I55" s="310"/>
      <c r="J55" s="319"/>
      <c r="K55" s="319"/>
      <c r="L55" s="319"/>
      <c r="M55" s="319"/>
      <c r="N55" s="314"/>
    </row>
    <row r="56" spans="1:19" s="320" customFormat="1" ht="15.75" customHeight="1" x14ac:dyDescent="0.25">
      <c r="A56" s="321"/>
      <c r="B56" s="322"/>
      <c r="C56" s="323"/>
      <c r="D56" s="324"/>
      <c r="E56" s="322"/>
      <c r="F56" s="325"/>
      <c r="G56" s="326"/>
      <c r="H56" s="327"/>
      <c r="I56" s="322"/>
      <c r="J56" s="267"/>
      <c r="K56" s="330"/>
      <c r="L56" s="330"/>
      <c r="M56" s="330"/>
      <c r="N56" s="331"/>
      <c r="S56" s="332"/>
    </row>
    <row r="57" spans="1:19" s="320" customFormat="1" ht="15.75" customHeight="1" x14ac:dyDescent="0.25">
      <c r="A57" s="321"/>
      <c r="B57" s="333" t="s">
        <v>211</v>
      </c>
      <c r="C57" s="333"/>
      <c r="D57" s="333"/>
      <c r="E57" s="334"/>
      <c r="F57" s="321"/>
      <c r="G57" s="252">
        <f>SUM(G54:G54)</f>
        <v>1000000</v>
      </c>
      <c r="H57" s="334"/>
      <c r="I57" s="333"/>
      <c r="J57" s="252">
        <f>SUM(J54:J54)</f>
        <v>1000000</v>
      </c>
      <c r="K57" s="252"/>
      <c r="L57" s="251"/>
      <c r="M57" s="252">
        <f>SUM(M54:M54)</f>
        <v>0</v>
      </c>
      <c r="N57" s="334"/>
      <c r="S57" s="332"/>
    </row>
    <row r="58" spans="1:19" s="320" customFormat="1" ht="15.75" customHeight="1" x14ac:dyDescent="0.25">
      <c r="A58" s="321"/>
      <c r="B58" s="333"/>
      <c r="C58" s="322" t="s">
        <v>177</v>
      </c>
      <c r="D58" s="333"/>
      <c r="E58" s="334"/>
      <c r="F58" s="321"/>
      <c r="G58" s="307">
        <f>+G57/O1</f>
        <v>5.5885859614497103E-4</v>
      </c>
      <c r="H58" s="334"/>
      <c r="I58" s="333"/>
      <c r="J58" s="307">
        <f>+J57/O1</f>
        <v>5.5885859614497103E-4</v>
      </c>
      <c r="K58" s="333"/>
      <c r="L58" s="307"/>
      <c r="M58" s="307">
        <f>+M57/O1</f>
        <v>0</v>
      </c>
      <c r="N58" s="334"/>
      <c r="S58" s="332"/>
    </row>
    <row r="59" spans="1:19" s="320" customFormat="1" ht="15.75" customHeight="1" x14ac:dyDescent="0.25">
      <c r="A59" s="335"/>
      <c r="B59" s="311"/>
      <c r="C59" s="311"/>
      <c r="D59" s="311"/>
      <c r="E59" s="314"/>
      <c r="F59" s="310"/>
      <c r="G59" s="311"/>
      <c r="H59" s="314"/>
      <c r="I59" s="311"/>
      <c r="J59" s="336"/>
      <c r="K59" s="336"/>
      <c r="L59" s="336"/>
      <c r="M59" s="336"/>
      <c r="N59" s="314"/>
      <c r="S59" s="332"/>
    </row>
    <row r="60" spans="1:19" s="320" customFormat="1" ht="15.75" customHeight="1" x14ac:dyDescent="0.25">
      <c r="A60" s="321"/>
      <c r="B60" s="322"/>
      <c r="C60" s="322"/>
      <c r="D60" s="322"/>
      <c r="E60" s="322"/>
      <c r="F60" s="337"/>
      <c r="G60" s="338"/>
      <c r="H60" s="339"/>
      <c r="I60" s="337"/>
      <c r="J60" s="340"/>
      <c r="K60" s="340"/>
      <c r="L60" s="340"/>
      <c r="M60" s="340"/>
      <c r="N60" s="339"/>
      <c r="S60" s="332"/>
    </row>
    <row r="61" spans="1:19" s="341" customFormat="1" ht="15.75" customHeight="1" x14ac:dyDescent="0.3">
      <c r="A61" s="273" t="s">
        <v>320</v>
      </c>
      <c r="B61" s="189"/>
      <c r="C61" s="189"/>
      <c r="D61" s="189"/>
      <c r="E61" s="189"/>
      <c r="F61" s="273"/>
      <c r="G61" s="276">
        <f>+G49+G57</f>
        <v>93234100</v>
      </c>
      <c r="H61" s="274"/>
      <c r="I61" s="278"/>
      <c r="J61" s="276">
        <f>+J49+J57</f>
        <v>56346100</v>
      </c>
      <c r="K61" s="276"/>
      <c r="L61" s="276"/>
      <c r="M61" s="276">
        <f>+M49+M57</f>
        <v>-36888000</v>
      </c>
      <c r="N61" s="274"/>
      <c r="O61" s="299"/>
      <c r="P61" s="299"/>
      <c r="Q61" s="299"/>
      <c r="R61" s="299"/>
    </row>
    <row r="62" spans="1:19" s="341" customFormat="1" ht="15.75" customHeight="1" x14ac:dyDescent="0.25">
      <c r="A62" s="273"/>
      <c r="B62" s="189"/>
      <c r="C62" s="216" t="s">
        <v>177</v>
      </c>
      <c r="D62" s="217"/>
      <c r="E62" s="217"/>
      <c r="F62" s="277"/>
      <c r="G62" s="342">
        <f>+G61/$O$1</f>
        <v>5.2104678238839845E-2</v>
      </c>
      <c r="H62" s="275"/>
      <c r="I62" s="278"/>
      <c r="J62" s="342">
        <f>+J61/O1</f>
        <v>3.1489502344244157E-2</v>
      </c>
      <c r="K62" s="190"/>
      <c r="L62" s="190"/>
      <c r="M62" s="342">
        <f>+M61/O1</f>
        <v>-2.0615175894595692E-2</v>
      </c>
      <c r="N62" s="274"/>
      <c r="O62" s="299"/>
      <c r="P62" s="299"/>
      <c r="Q62" s="299"/>
      <c r="R62" s="299"/>
    </row>
    <row r="63" spans="1:19" s="346" customFormat="1" ht="15.75" customHeight="1" x14ac:dyDescent="0.25">
      <c r="A63" s="343"/>
      <c r="B63" s="344"/>
      <c r="C63" s="344"/>
      <c r="D63" s="344"/>
      <c r="E63" s="344"/>
      <c r="F63" s="343"/>
      <c r="G63" s="344"/>
      <c r="H63" s="345"/>
      <c r="I63" s="343"/>
      <c r="J63" s="344"/>
      <c r="K63" s="344"/>
      <c r="L63" s="344"/>
      <c r="M63" s="344"/>
      <c r="N63" s="345"/>
      <c r="O63" s="288"/>
      <c r="P63" s="288"/>
      <c r="Q63" s="288"/>
      <c r="R63" s="288"/>
    </row>
    <row r="64" spans="1:19" s="346" customFormat="1" ht="18" customHeight="1" x14ac:dyDescent="0.3">
      <c r="A64" s="459"/>
      <c r="B64" s="459"/>
      <c r="C64" s="459"/>
      <c r="D64" s="459"/>
      <c r="E64" s="459"/>
      <c r="F64" s="459"/>
      <c r="G64" s="459"/>
      <c r="H64" s="459"/>
      <c r="I64" s="370"/>
      <c r="J64" s="454"/>
      <c r="K64" s="370"/>
      <c r="L64" s="370"/>
      <c r="M64" s="370"/>
      <c r="N64" s="370"/>
      <c r="O64" s="288"/>
      <c r="P64" s="288"/>
      <c r="Q64" s="288"/>
      <c r="R64" s="288"/>
    </row>
    <row r="65" spans="1:18" s="346" customFormat="1" ht="18" customHeight="1" x14ac:dyDescent="0.25">
      <c r="A65" s="461"/>
      <c r="B65" s="461"/>
      <c r="C65" s="461"/>
      <c r="D65" s="461"/>
      <c r="E65" s="461"/>
      <c r="F65" s="461"/>
      <c r="G65" s="461"/>
      <c r="H65" s="461"/>
      <c r="I65" s="348"/>
      <c r="J65" s="349"/>
      <c r="K65" s="348"/>
      <c r="L65" s="348"/>
      <c r="M65" s="348"/>
      <c r="N65" s="348"/>
      <c r="O65" s="288"/>
      <c r="P65" s="288"/>
      <c r="Q65" s="288"/>
      <c r="R65" s="288"/>
    </row>
    <row r="66" spans="1:18" s="346" customFormat="1" ht="18" customHeight="1" x14ac:dyDescent="0.25">
      <c r="A66" s="461"/>
      <c r="B66" s="461"/>
      <c r="C66" s="461"/>
      <c r="D66" s="461"/>
      <c r="E66" s="461"/>
      <c r="F66" s="461"/>
      <c r="G66" s="461"/>
      <c r="H66" s="461"/>
      <c r="I66" s="348"/>
      <c r="J66" s="349"/>
      <c r="K66" s="348"/>
      <c r="L66" s="348"/>
      <c r="M66" s="348"/>
      <c r="N66" s="348"/>
      <c r="O66" s="288"/>
      <c r="P66" s="288"/>
      <c r="Q66" s="288"/>
      <c r="R66" s="288"/>
    </row>
    <row r="67" spans="1:18" ht="18" customHeight="1" x14ac:dyDescent="0.25">
      <c r="A67" s="462"/>
      <c r="B67" s="461"/>
      <c r="C67" s="461"/>
      <c r="D67" s="461"/>
      <c r="E67" s="461"/>
      <c r="F67" s="461"/>
      <c r="G67" s="461"/>
      <c r="H67" s="461"/>
      <c r="I67" s="350"/>
      <c r="J67" s="350"/>
      <c r="K67" s="350"/>
      <c r="L67" s="350"/>
      <c r="M67" s="350"/>
      <c r="N67" s="350"/>
    </row>
    <row r="68" spans="1:18" ht="18" customHeight="1" x14ac:dyDescent="0.25">
      <c r="A68" s="461"/>
      <c r="B68" s="461"/>
      <c r="C68" s="461"/>
      <c r="D68" s="461"/>
      <c r="E68" s="461"/>
      <c r="F68" s="461"/>
      <c r="G68" s="461"/>
      <c r="H68" s="461"/>
      <c r="I68" s="350"/>
      <c r="J68" s="350"/>
      <c r="K68" s="350"/>
      <c r="L68" s="350"/>
      <c r="M68" s="350"/>
      <c r="N68" s="350"/>
    </row>
  </sheetData>
  <sortState xmlns:xlrd2="http://schemas.microsoft.com/office/spreadsheetml/2017/richdata2" ref="C54:M54">
    <sortCondition descending="1" ref="G54"/>
  </sortState>
  <mergeCells count="11">
    <mergeCell ref="A68:H68"/>
    <mergeCell ref="F1:H1"/>
    <mergeCell ref="A3:H3"/>
    <mergeCell ref="A4:H4"/>
    <mergeCell ref="A5:E6"/>
    <mergeCell ref="F5:H5"/>
    <mergeCell ref="I5:N5"/>
    <mergeCell ref="A64:H64"/>
    <mergeCell ref="A65:H65"/>
    <mergeCell ref="A66:H66"/>
    <mergeCell ref="A67:H67"/>
  </mergeCells>
  <printOptions horizontalCentered="1"/>
  <pageMargins left="0.5" right="0.5" top="0.7" bottom="0.5" header="0.5" footer="0.25"/>
  <pageSetup scale="84"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5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006"/>
  <sheetViews>
    <sheetView showGridLines="0" view="pageBreakPreview" zoomScaleNormal="100" zoomScaleSheetLayoutView="100" workbookViewId="0">
      <selection activeCell="AU11" sqref="AU11"/>
    </sheetView>
  </sheetViews>
  <sheetFormatPr defaultRowHeight="20.100000000000001" customHeight="1" x14ac:dyDescent="0.2"/>
  <cols>
    <col min="1" max="1" width="1.5703125" style="99" customWidth="1"/>
    <col min="2" max="2" width="1.85546875" style="99" customWidth="1"/>
    <col min="3" max="3" width="28.7109375" style="99" customWidth="1"/>
    <col min="4" max="4" width="1.140625" style="99" customWidth="1"/>
    <col min="5" max="5" width="23.5703125" style="99" hidden="1" customWidth="1"/>
    <col min="6" max="6" width="1.140625" style="99" hidden="1" customWidth="1"/>
    <col min="7" max="7" width="14.7109375" style="104" hidden="1" customWidth="1"/>
    <col min="8" max="8" width="18.140625" style="151" hidden="1" customWidth="1"/>
    <col min="9" max="9" width="1.140625" style="99" hidden="1" customWidth="1"/>
    <col min="10" max="10" width="11" style="104" hidden="1" customWidth="1"/>
    <col min="11" max="11" width="11" style="105" hidden="1" customWidth="1"/>
    <col min="12" max="12" width="11" style="99" hidden="1" customWidth="1"/>
    <col min="13" max="13" width="7.5703125" style="99" hidden="1" customWidth="1"/>
    <col min="14" max="14" width="1.140625" style="99" hidden="1" customWidth="1"/>
    <col min="15" max="15" width="11" style="104" hidden="1" customWidth="1"/>
    <col min="16" max="18" width="11" style="105" hidden="1" customWidth="1"/>
    <col min="19" max="19" width="1.140625" style="99" hidden="1" customWidth="1"/>
    <col min="20" max="20" width="16.140625" style="151" hidden="1" customWidth="1"/>
    <col min="21" max="21" width="8.42578125" style="99" hidden="1" customWidth="1"/>
    <col min="22" max="22" width="1" style="99" hidden="1" customWidth="1"/>
    <col min="23" max="23" width="15.28515625" style="99" bestFit="1" customWidth="1"/>
    <col min="24" max="24" width="1.140625" style="99" customWidth="1"/>
    <col min="25" max="27" width="11" style="105" hidden="1" customWidth="1"/>
    <col min="28" max="28" width="13.42578125" style="99" bestFit="1" customWidth="1"/>
    <col min="29" max="29" width="8.28515625" style="99" bestFit="1" customWidth="1"/>
    <col min="30" max="30" width="1.28515625" style="99" customWidth="1"/>
    <col min="31" max="31" width="11" style="105" hidden="1" customWidth="1"/>
    <col min="32" max="32" width="12.42578125" style="99" bestFit="1" customWidth="1"/>
    <col min="33" max="33" width="8.28515625" style="99" customWidth="1"/>
    <col min="34" max="34" width="1.42578125" style="99" customWidth="1"/>
    <col min="35" max="35" width="13.85546875" style="99" customWidth="1"/>
    <col min="36" max="36" width="8.28515625" style="99" customWidth="1"/>
    <col min="37" max="37" width="1.140625" style="99" customWidth="1"/>
    <col min="38" max="38" width="15.7109375" style="99" customWidth="1"/>
    <col min="39" max="39" width="1.140625" style="99" customWidth="1"/>
    <col min="40" max="40" width="14" style="99" bestFit="1" customWidth="1"/>
    <col min="41" max="41" width="11.28515625" style="99" bestFit="1" customWidth="1"/>
    <col min="42" max="248" width="9.140625" style="99"/>
    <col min="249" max="249" width="1.5703125" style="99" customWidth="1"/>
    <col min="250" max="250" width="1.85546875" style="99" customWidth="1"/>
    <col min="251" max="251" width="24.28515625" style="99" customWidth="1"/>
    <col min="252" max="270" width="0" style="99" hidden="1" customWidth="1"/>
    <col min="271" max="271" width="14.5703125" style="99" customWidth="1"/>
    <col min="272" max="272" width="1.140625" style="99" customWidth="1"/>
    <col min="273" max="275" width="0" style="99" hidden="1" customWidth="1"/>
    <col min="276" max="276" width="13.28515625" style="99" customWidth="1"/>
    <col min="277" max="277" width="8.28515625" style="99" bestFit="1" customWidth="1"/>
    <col min="278" max="278" width="1.28515625" style="99" customWidth="1"/>
    <col min="279" max="279" width="0" style="99" hidden="1" customWidth="1"/>
    <col min="280" max="280" width="11.85546875" style="99" customWidth="1"/>
    <col min="281" max="281" width="7.140625" style="99" bestFit="1" customWidth="1"/>
    <col min="282" max="282" width="1.42578125" style="99" customWidth="1"/>
    <col min="283" max="283" width="13" style="99" customWidth="1"/>
    <col min="284" max="284" width="8.28515625" style="99" bestFit="1" customWidth="1"/>
    <col min="285" max="285" width="1.140625" style="99" customWidth="1"/>
    <col min="286" max="286" width="15.7109375" style="99" customWidth="1"/>
    <col min="287" max="287" width="1.140625" style="99" customWidth="1"/>
    <col min="288" max="288" width="9.140625" style="99"/>
    <col min="289" max="290" width="19.42578125" style="99" customWidth="1"/>
    <col min="291" max="291" width="9.140625" style="99"/>
    <col min="292" max="292" width="12.7109375" style="99" bestFit="1" customWidth="1"/>
    <col min="293" max="293" width="9.140625" style="99"/>
    <col min="294" max="294" width="11.7109375" style="99" bestFit="1" customWidth="1"/>
    <col min="295" max="295" width="10.7109375" style="99" bestFit="1" customWidth="1"/>
    <col min="296" max="504" width="9.140625" style="99"/>
    <col min="505" max="505" width="1.5703125" style="99" customWidth="1"/>
    <col min="506" max="506" width="1.85546875" style="99" customWidth="1"/>
    <col min="507" max="507" width="24.28515625" style="99" customWidth="1"/>
    <col min="508" max="526" width="0" style="99" hidden="1" customWidth="1"/>
    <col min="527" max="527" width="14.5703125" style="99" customWidth="1"/>
    <col min="528" max="528" width="1.140625" style="99" customWidth="1"/>
    <col min="529" max="531" width="0" style="99" hidden="1" customWidth="1"/>
    <col min="532" max="532" width="13.28515625" style="99" customWidth="1"/>
    <col min="533" max="533" width="8.28515625" style="99" bestFit="1" customWidth="1"/>
    <col min="534" max="534" width="1.28515625" style="99" customWidth="1"/>
    <col min="535" max="535" width="0" style="99" hidden="1" customWidth="1"/>
    <col min="536" max="536" width="11.85546875" style="99" customWidth="1"/>
    <col min="537" max="537" width="7.140625" style="99" bestFit="1" customWidth="1"/>
    <col min="538" max="538" width="1.42578125" style="99" customWidth="1"/>
    <col min="539" max="539" width="13" style="99" customWidth="1"/>
    <col min="540" max="540" width="8.28515625" style="99" bestFit="1" customWidth="1"/>
    <col min="541" max="541" width="1.140625" style="99" customWidth="1"/>
    <col min="542" max="542" width="15.7109375" style="99" customWidth="1"/>
    <col min="543" max="543" width="1.140625" style="99" customWidth="1"/>
    <col min="544" max="544" width="9.140625" style="99"/>
    <col min="545" max="546" width="19.42578125" style="99" customWidth="1"/>
    <col min="547" max="547" width="9.140625" style="99"/>
    <col min="548" max="548" width="12.7109375" style="99" bestFit="1" customWidth="1"/>
    <col min="549" max="549" width="9.140625" style="99"/>
    <col min="550" max="550" width="11.7109375" style="99" bestFit="1" customWidth="1"/>
    <col min="551" max="551" width="10.7109375" style="99" bestFit="1" customWidth="1"/>
    <col min="552" max="760" width="9.140625" style="99"/>
    <col min="761" max="761" width="1.5703125" style="99" customWidth="1"/>
    <col min="762" max="762" width="1.85546875" style="99" customWidth="1"/>
    <col min="763" max="763" width="24.28515625" style="99" customWidth="1"/>
    <col min="764" max="782" width="0" style="99" hidden="1" customWidth="1"/>
    <col min="783" max="783" width="14.5703125" style="99" customWidth="1"/>
    <col min="784" max="784" width="1.140625" style="99" customWidth="1"/>
    <col min="785" max="787" width="0" style="99" hidden="1" customWidth="1"/>
    <col min="788" max="788" width="13.28515625" style="99" customWidth="1"/>
    <col min="789" max="789" width="8.28515625" style="99" bestFit="1" customWidth="1"/>
    <col min="790" max="790" width="1.28515625" style="99" customWidth="1"/>
    <col min="791" max="791" width="0" style="99" hidden="1" customWidth="1"/>
    <col min="792" max="792" width="11.85546875" style="99" customWidth="1"/>
    <col min="793" max="793" width="7.140625" style="99" bestFit="1" customWidth="1"/>
    <col min="794" max="794" width="1.42578125" style="99" customWidth="1"/>
    <col min="795" max="795" width="13" style="99" customWidth="1"/>
    <col min="796" max="796" width="8.28515625" style="99" bestFit="1" customWidth="1"/>
    <col min="797" max="797" width="1.140625" style="99" customWidth="1"/>
    <col min="798" max="798" width="15.7109375" style="99" customWidth="1"/>
    <col min="799" max="799" width="1.140625" style="99" customWidth="1"/>
    <col min="800" max="800" width="9.140625" style="99"/>
    <col min="801" max="802" width="19.42578125" style="99" customWidth="1"/>
    <col min="803" max="803" width="9.140625" style="99"/>
    <col min="804" max="804" width="12.7109375" style="99" bestFit="1" customWidth="1"/>
    <col min="805" max="805" width="9.140625" style="99"/>
    <col min="806" max="806" width="11.7109375" style="99" bestFit="1" customWidth="1"/>
    <col min="807" max="807" width="10.7109375" style="99" bestFit="1" customWidth="1"/>
    <col min="808" max="1016" width="9.140625" style="99"/>
    <col min="1017" max="1017" width="1.5703125" style="99" customWidth="1"/>
    <col min="1018" max="1018" width="1.85546875" style="99" customWidth="1"/>
    <col min="1019" max="1019" width="24.28515625" style="99" customWidth="1"/>
    <col min="1020" max="1038" width="0" style="99" hidden="1" customWidth="1"/>
    <col min="1039" max="1039" width="14.5703125" style="99" customWidth="1"/>
    <col min="1040" max="1040" width="1.140625" style="99" customWidth="1"/>
    <col min="1041" max="1043" width="0" style="99" hidden="1" customWidth="1"/>
    <col min="1044" max="1044" width="13.28515625" style="99" customWidth="1"/>
    <col min="1045" max="1045" width="8.28515625" style="99" bestFit="1" customWidth="1"/>
    <col min="1046" max="1046" width="1.28515625" style="99" customWidth="1"/>
    <col min="1047" max="1047" width="0" style="99" hidden="1" customWidth="1"/>
    <col min="1048" max="1048" width="11.85546875" style="99" customWidth="1"/>
    <col min="1049" max="1049" width="7.140625" style="99" bestFit="1" customWidth="1"/>
    <col min="1050" max="1050" width="1.42578125" style="99" customWidth="1"/>
    <col min="1051" max="1051" width="13" style="99" customWidth="1"/>
    <col min="1052" max="1052" width="8.28515625" style="99" bestFit="1" customWidth="1"/>
    <col min="1053" max="1053" width="1.140625" style="99" customWidth="1"/>
    <col min="1054" max="1054" width="15.7109375" style="99" customWidth="1"/>
    <col min="1055" max="1055" width="1.140625" style="99" customWidth="1"/>
    <col min="1056" max="1056" width="9.140625" style="99"/>
    <col min="1057" max="1058" width="19.42578125" style="99" customWidth="1"/>
    <col min="1059" max="1059" width="9.140625" style="99"/>
    <col min="1060" max="1060" width="12.7109375" style="99" bestFit="1" customWidth="1"/>
    <col min="1061" max="1061" width="9.140625" style="99"/>
    <col min="1062" max="1062" width="11.7109375" style="99" bestFit="1" customWidth="1"/>
    <col min="1063" max="1063" width="10.7109375" style="99" bestFit="1" customWidth="1"/>
    <col min="1064" max="1272" width="9.140625" style="99"/>
    <col min="1273" max="1273" width="1.5703125" style="99" customWidth="1"/>
    <col min="1274" max="1274" width="1.85546875" style="99" customWidth="1"/>
    <col min="1275" max="1275" width="24.28515625" style="99" customWidth="1"/>
    <col min="1276" max="1294" width="0" style="99" hidden="1" customWidth="1"/>
    <col min="1295" max="1295" width="14.5703125" style="99" customWidth="1"/>
    <col min="1296" max="1296" width="1.140625" style="99" customWidth="1"/>
    <col min="1297" max="1299" width="0" style="99" hidden="1" customWidth="1"/>
    <col min="1300" max="1300" width="13.28515625" style="99" customWidth="1"/>
    <col min="1301" max="1301" width="8.28515625" style="99" bestFit="1" customWidth="1"/>
    <col min="1302" max="1302" width="1.28515625" style="99" customWidth="1"/>
    <col min="1303" max="1303" width="0" style="99" hidden="1" customWidth="1"/>
    <col min="1304" max="1304" width="11.85546875" style="99" customWidth="1"/>
    <col min="1305" max="1305" width="7.140625" style="99" bestFit="1" customWidth="1"/>
    <col min="1306" max="1306" width="1.42578125" style="99" customWidth="1"/>
    <col min="1307" max="1307" width="13" style="99" customWidth="1"/>
    <col min="1308" max="1308" width="8.28515625" style="99" bestFit="1" customWidth="1"/>
    <col min="1309" max="1309" width="1.140625" style="99" customWidth="1"/>
    <col min="1310" max="1310" width="15.7109375" style="99" customWidth="1"/>
    <col min="1311" max="1311" width="1.140625" style="99" customWidth="1"/>
    <col min="1312" max="1312" width="9.140625" style="99"/>
    <col min="1313" max="1314" width="19.42578125" style="99" customWidth="1"/>
    <col min="1315" max="1315" width="9.140625" style="99"/>
    <col min="1316" max="1316" width="12.7109375" style="99" bestFit="1" customWidth="1"/>
    <col min="1317" max="1317" width="9.140625" style="99"/>
    <col min="1318" max="1318" width="11.7109375" style="99" bestFit="1" customWidth="1"/>
    <col min="1319" max="1319" width="10.7109375" style="99" bestFit="1" customWidth="1"/>
    <col min="1320" max="1528" width="9.140625" style="99"/>
    <col min="1529" max="1529" width="1.5703125" style="99" customWidth="1"/>
    <col min="1530" max="1530" width="1.85546875" style="99" customWidth="1"/>
    <col min="1531" max="1531" width="24.28515625" style="99" customWidth="1"/>
    <col min="1532" max="1550" width="0" style="99" hidden="1" customWidth="1"/>
    <col min="1551" max="1551" width="14.5703125" style="99" customWidth="1"/>
    <col min="1552" max="1552" width="1.140625" style="99" customWidth="1"/>
    <col min="1553" max="1555" width="0" style="99" hidden="1" customWidth="1"/>
    <col min="1556" max="1556" width="13.28515625" style="99" customWidth="1"/>
    <col min="1557" max="1557" width="8.28515625" style="99" bestFit="1" customWidth="1"/>
    <col min="1558" max="1558" width="1.28515625" style="99" customWidth="1"/>
    <col min="1559" max="1559" width="0" style="99" hidden="1" customWidth="1"/>
    <col min="1560" max="1560" width="11.85546875" style="99" customWidth="1"/>
    <col min="1561" max="1561" width="7.140625" style="99" bestFit="1" customWidth="1"/>
    <col min="1562" max="1562" width="1.42578125" style="99" customWidth="1"/>
    <col min="1563" max="1563" width="13" style="99" customWidth="1"/>
    <col min="1564" max="1564" width="8.28515625" style="99" bestFit="1" customWidth="1"/>
    <col min="1565" max="1565" width="1.140625" style="99" customWidth="1"/>
    <col min="1566" max="1566" width="15.7109375" style="99" customWidth="1"/>
    <col min="1567" max="1567" width="1.140625" style="99" customWidth="1"/>
    <col min="1568" max="1568" width="9.140625" style="99"/>
    <col min="1569" max="1570" width="19.42578125" style="99" customWidth="1"/>
    <col min="1571" max="1571" width="9.140625" style="99"/>
    <col min="1572" max="1572" width="12.7109375" style="99" bestFit="1" customWidth="1"/>
    <col min="1573" max="1573" width="9.140625" style="99"/>
    <col min="1574" max="1574" width="11.7109375" style="99" bestFit="1" customWidth="1"/>
    <col min="1575" max="1575" width="10.7109375" style="99" bestFit="1" customWidth="1"/>
    <col min="1576" max="1784" width="9.140625" style="99"/>
    <col min="1785" max="1785" width="1.5703125" style="99" customWidth="1"/>
    <col min="1786" max="1786" width="1.85546875" style="99" customWidth="1"/>
    <col min="1787" max="1787" width="24.28515625" style="99" customWidth="1"/>
    <col min="1788" max="1806" width="0" style="99" hidden="1" customWidth="1"/>
    <col min="1807" max="1807" width="14.5703125" style="99" customWidth="1"/>
    <col min="1808" max="1808" width="1.140625" style="99" customWidth="1"/>
    <col min="1809" max="1811" width="0" style="99" hidden="1" customWidth="1"/>
    <col min="1812" max="1812" width="13.28515625" style="99" customWidth="1"/>
    <col min="1813" max="1813" width="8.28515625" style="99" bestFit="1" customWidth="1"/>
    <col min="1814" max="1814" width="1.28515625" style="99" customWidth="1"/>
    <col min="1815" max="1815" width="0" style="99" hidden="1" customWidth="1"/>
    <col min="1816" max="1816" width="11.85546875" style="99" customWidth="1"/>
    <col min="1817" max="1817" width="7.140625" style="99" bestFit="1" customWidth="1"/>
    <col min="1818" max="1818" width="1.42578125" style="99" customWidth="1"/>
    <col min="1819" max="1819" width="13" style="99" customWidth="1"/>
    <col min="1820" max="1820" width="8.28515625" style="99" bestFit="1" customWidth="1"/>
    <col min="1821" max="1821" width="1.140625" style="99" customWidth="1"/>
    <col min="1822" max="1822" width="15.7109375" style="99" customWidth="1"/>
    <col min="1823" max="1823" width="1.140625" style="99" customWidth="1"/>
    <col min="1824" max="1824" width="9.140625" style="99"/>
    <col min="1825" max="1826" width="19.42578125" style="99" customWidth="1"/>
    <col min="1827" max="1827" width="9.140625" style="99"/>
    <col min="1828" max="1828" width="12.7109375" style="99" bestFit="1" customWidth="1"/>
    <col min="1829" max="1829" width="9.140625" style="99"/>
    <col min="1830" max="1830" width="11.7109375" style="99" bestFit="1" customWidth="1"/>
    <col min="1831" max="1831" width="10.7109375" style="99" bestFit="1" customWidth="1"/>
    <col min="1832" max="2040" width="9.140625" style="99"/>
    <col min="2041" max="2041" width="1.5703125" style="99" customWidth="1"/>
    <col min="2042" max="2042" width="1.85546875" style="99" customWidth="1"/>
    <col min="2043" max="2043" width="24.28515625" style="99" customWidth="1"/>
    <col min="2044" max="2062" width="0" style="99" hidden="1" customWidth="1"/>
    <col min="2063" max="2063" width="14.5703125" style="99" customWidth="1"/>
    <col min="2064" max="2064" width="1.140625" style="99" customWidth="1"/>
    <col min="2065" max="2067" width="0" style="99" hidden="1" customWidth="1"/>
    <col min="2068" max="2068" width="13.28515625" style="99" customWidth="1"/>
    <col min="2069" max="2069" width="8.28515625" style="99" bestFit="1" customWidth="1"/>
    <col min="2070" max="2070" width="1.28515625" style="99" customWidth="1"/>
    <col min="2071" max="2071" width="0" style="99" hidden="1" customWidth="1"/>
    <col min="2072" max="2072" width="11.85546875" style="99" customWidth="1"/>
    <col min="2073" max="2073" width="7.140625" style="99" bestFit="1" customWidth="1"/>
    <col min="2074" max="2074" width="1.42578125" style="99" customWidth="1"/>
    <col min="2075" max="2075" width="13" style="99" customWidth="1"/>
    <col min="2076" max="2076" width="8.28515625" style="99" bestFit="1" customWidth="1"/>
    <col min="2077" max="2077" width="1.140625" style="99" customWidth="1"/>
    <col min="2078" max="2078" width="15.7109375" style="99" customWidth="1"/>
    <col min="2079" max="2079" width="1.140625" style="99" customWidth="1"/>
    <col min="2080" max="2080" width="9.140625" style="99"/>
    <col min="2081" max="2082" width="19.42578125" style="99" customWidth="1"/>
    <col min="2083" max="2083" width="9.140625" style="99"/>
    <col min="2084" max="2084" width="12.7109375" style="99" bestFit="1" customWidth="1"/>
    <col min="2085" max="2085" width="9.140625" style="99"/>
    <col min="2086" max="2086" width="11.7109375" style="99" bestFit="1" customWidth="1"/>
    <col min="2087" max="2087" width="10.7109375" style="99" bestFit="1" customWidth="1"/>
    <col min="2088" max="2296" width="9.140625" style="99"/>
    <col min="2297" max="2297" width="1.5703125" style="99" customWidth="1"/>
    <col min="2298" max="2298" width="1.85546875" style="99" customWidth="1"/>
    <col min="2299" max="2299" width="24.28515625" style="99" customWidth="1"/>
    <col min="2300" max="2318" width="0" style="99" hidden="1" customWidth="1"/>
    <col min="2319" max="2319" width="14.5703125" style="99" customWidth="1"/>
    <col min="2320" max="2320" width="1.140625" style="99" customWidth="1"/>
    <col min="2321" max="2323" width="0" style="99" hidden="1" customWidth="1"/>
    <col min="2324" max="2324" width="13.28515625" style="99" customWidth="1"/>
    <col min="2325" max="2325" width="8.28515625" style="99" bestFit="1" customWidth="1"/>
    <col min="2326" max="2326" width="1.28515625" style="99" customWidth="1"/>
    <col min="2327" max="2327" width="0" style="99" hidden="1" customWidth="1"/>
    <col min="2328" max="2328" width="11.85546875" style="99" customWidth="1"/>
    <col min="2329" max="2329" width="7.140625" style="99" bestFit="1" customWidth="1"/>
    <col min="2330" max="2330" width="1.42578125" style="99" customWidth="1"/>
    <col min="2331" max="2331" width="13" style="99" customWidth="1"/>
    <col min="2332" max="2332" width="8.28515625" style="99" bestFit="1" customWidth="1"/>
    <col min="2333" max="2333" width="1.140625" style="99" customWidth="1"/>
    <col min="2334" max="2334" width="15.7109375" style="99" customWidth="1"/>
    <col min="2335" max="2335" width="1.140625" style="99" customWidth="1"/>
    <col min="2336" max="2336" width="9.140625" style="99"/>
    <col min="2337" max="2338" width="19.42578125" style="99" customWidth="1"/>
    <col min="2339" max="2339" width="9.140625" style="99"/>
    <col min="2340" max="2340" width="12.7109375" style="99" bestFit="1" customWidth="1"/>
    <col min="2341" max="2341" width="9.140625" style="99"/>
    <col min="2342" max="2342" width="11.7109375" style="99" bestFit="1" customWidth="1"/>
    <col min="2343" max="2343" width="10.7109375" style="99" bestFit="1" customWidth="1"/>
    <col min="2344" max="2552" width="9.140625" style="99"/>
    <col min="2553" max="2553" width="1.5703125" style="99" customWidth="1"/>
    <col min="2554" max="2554" width="1.85546875" style="99" customWidth="1"/>
    <col min="2555" max="2555" width="24.28515625" style="99" customWidth="1"/>
    <col min="2556" max="2574" width="0" style="99" hidden="1" customWidth="1"/>
    <col min="2575" max="2575" width="14.5703125" style="99" customWidth="1"/>
    <col min="2576" max="2576" width="1.140625" style="99" customWidth="1"/>
    <col min="2577" max="2579" width="0" style="99" hidden="1" customWidth="1"/>
    <col min="2580" max="2580" width="13.28515625" style="99" customWidth="1"/>
    <col min="2581" max="2581" width="8.28515625" style="99" bestFit="1" customWidth="1"/>
    <col min="2582" max="2582" width="1.28515625" style="99" customWidth="1"/>
    <col min="2583" max="2583" width="0" style="99" hidden="1" customWidth="1"/>
    <col min="2584" max="2584" width="11.85546875" style="99" customWidth="1"/>
    <col min="2585" max="2585" width="7.140625" style="99" bestFit="1" customWidth="1"/>
    <col min="2586" max="2586" width="1.42578125" style="99" customWidth="1"/>
    <col min="2587" max="2587" width="13" style="99" customWidth="1"/>
    <col min="2588" max="2588" width="8.28515625" style="99" bestFit="1" customWidth="1"/>
    <col min="2589" max="2589" width="1.140625" style="99" customWidth="1"/>
    <col min="2590" max="2590" width="15.7109375" style="99" customWidth="1"/>
    <col min="2591" max="2591" width="1.140625" style="99" customWidth="1"/>
    <col min="2592" max="2592" width="9.140625" style="99"/>
    <col min="2593" max="2594" width="19.42578125" style="99" customWidth="1"/>
    <col min="2595" max="2595" width="9.140625" style="99"/>
    <col min="2596" max="2596" width="12.7109375" style="99" bestFit="1" customWidth="1"/>
    <col min="2597" max="2597" width="9.140625" style="99"/>
    <col min="2598" max="2598" width="11.7109375" style="99" bestFit="1" customWidth="1"/>
    <col min="2599" max="2599" width="10.7109375" style="99" bestFit="1" customWidth="1"/>
    <col min="2600" max="2808" width="9.140625" style="99"/>
    <col min="2809" max="2809" width="1.5703125" style="99" customWidth="1"/>
    <col min="2810" max="2810" width="1.85546875" style="99" customWidth="1"/>
    <col min="2811" max="2811" width="24.28515625" style="99" customWidth="1"/>
    <col min="2812" max="2830" width="0" style="99" hidden="1" customWidth="1"/>
    <col min="2831" max="2831" width="14.5703125" style="99" customWidth="1"/>
    <col min="2832" max="2832" width="1.140625" style="99" customWidth="1"/>
    <col min="2833" max="2835" width="0" style="99" hidden="1" customWidth="1"/>
    <col min="2836" max="2836" width="13.28515625" style="99" customWidth="1"/>
    <col min="2837" max="2837" width="8.28515625" style="99" bestFit="1" customWidth="1"/>
    <col min="2838" max="2838" width="1.28515625" style="99" customWidth="1"/>
    <col min="2839" max="2839" width="0" style="99" hidden="1" customWidth="1"/>
    <col min="2840" max="2840" width="11.85546875" style="99" customWidth="1"/>
    <col min="2841" max="2841" width="7.140625" style="99" bestFit="1" customWidth="1"/>
    <col min="2842" max="2842" width="1.42578125" style="99" customWidth="1"/>
    <col min="2843" max="2843" width="13" style="99" customWidth="1"/>
    <col min="2844" max="2844" width="8.28515625" style="99" bestFit="1" customWidth="1"/>
    <col min="2845" max="2845" width="1.140625" style="99" customWidth="1"/>
    <col min="2846" max="2846" width="15.7109375" style="99" customWidth="1"/>
    <col min="2847" max="2847" width="1.140625" style="99" customWidth="1"/>
    <col min="2848" max="2848" width="9.140625" style="99"/>
    <col min="2849" max="2850" width="19.42578125" style="99" customWidth="1"/>
    <col min="2851" max="2851" width="9.140625" style="99"/>
    <col min="2852" max="2852" width="12.7109375" style="99" bestFit="1" customWidth="1"/>
    <col min="2853" max="2853" width="9.140625" style="99"/>
    <col min="2854" max="2854" width="11.7109375" style="99" bestFit="1" customWidth="1"/>
    <col min="2855" max="2855" width="10.7109375" style="99" bestFit="1" customWidth="1"/>
    <col min="2856" max="3064" width="9.140625" style="99"/>
    <col min="3065" max="3065" width="1.5703125" style="99" customWidth="1"/>
    <col min="3066" max="3066" width="1.85546875" style="99" customWidth="1"/>
    <col min="3067" max="3067" width="24.28515625" style="99" customWidth="1"/>
    <col min="3068" max="3086" width="0" style="99" hidden="1" customWidth="1"/>
    <col min="3087" max="3087" width="14.5703125" style="99" customWidth="1"/>
    <col min="3088" max="3088" width="1.140625" style="99" customWidth="1"/>
    <col min="3089" max="3091" width="0" style="99" hidden="1" customWidth="1"/>
    <col min="3092" max="3092" width="13.28515625" style="99" customWidth="1"/>
    <col min="3093" max="3093" width="8.28515625" style="99" bestFit="1" customWidth="1"/>
    <col min="3094" max="3094" width="1.28515625" style="99" customWidth="1"/>
    <col min="3095" max="3095" width="0" style="99" hidden="1" customWidth="1"/>
    <col min="3096" max="3096" width="11.85546875" style="99" customWidth="1"/>
    <col min="3097" max="3097" width="7.140625" style="99" bestFit="1" customWidth="1"/>
    <col min="3098" max="3098" width="1.42578125" style="99" customWidth="1"/>
    <col min="3099" max="3099" width="13" style="99" customWidth="1"/>
    <col min="3100" max="3100" width="8.28515625" style="99" bestFit="1" customWidth="1"/>
    <col min="3101" max="3101" width="1.140625" style="99" customWidth="1"/>
    <col min="3102" max="3102" width="15.7109375" style="99" customWidth="1"/>
    <col min="3103" max="3103" width="1.140625" style="99" customWidth="1"/>
    <col min="3104" max="3104" width="9.140625" style="99"/>
    <col min="3105" max="3106" width="19.42578125" style="99" customWidth="1"/>
    <col min="3107" max="3107" width="9.140625" style="99"/>
    <col min="3108" max="3108" width="12.7109375" style="99" bestFit="1" customWidth="1"/>
    <col min="3109" max="3109" width="9.140625" style="99"/>
    <col min="3110" max="3110" width="11.7109375" style="99" bestFit="1" customWidth="1"/>
    <col min="3111" max="3111" width="10.7109375" style="99" bestFit="1" customWidth="1"/>
    <col min="3112" max="3320" width="9.140625" style="99"/>
    <col min="3321" max="3321" width="1.5703125" style="99" customWidth="1"/>
    <col min="3322" max="3322" width="1.85546875" style="99" customWidth="1"/>
    <col min="3323" max="3323" width="24.28515625" style="99" customWidth="1"/>
    <col min="3324" max="3342" width="0" style="99" hidden="1" customWidth="1"/>
    <col min="3343" max="3343" width="14.5703125" style="99" customWidth="1"/>
    <col min="3344" max="3344" width="1.140625" style="99" customWidth="1"/>
    <col min="3345" max="3347" width="0" style="99" hidden="1" customWidth="1"/>
    <col min="3348" max="3348" width="13.28515625" style="99" customWidth="1"/>
    <col min="3349" max="3349" width="8.28515625" style="99" bestFit="1" customWidth="1"/>
    <col min="3350" max="3350" width="1.28515625" style="99" customWidth="1"/>
    <col min="3351" max="3351" width="0" style="99" hidden="1" customWidth="1"/>
    <col min="3352" max="3352" width="11.85546875" style="99" customWidth="1"/>
    <col min="3353" max="3353" width="7.140625" style="99" bestFit="1" customWidth="1"/>
    <col min="3354" max="3354" width="1.42578125" style="99" customWidth="1"/>
    <col min="3355" max="3355" width="13" style="99" customWidth="1"/>
    <col min="3356" max="3356" width="8.28515625" style="99" bestFit="1" customWidth="1"/>
    <col min="3357" max="3357" width="1.140625" style="99" customWidth="1"/>
    <col min="3358" max="3358" width="15.7109375" style="99" customWidth="1"/>
    <col min="3359" max="3359" width="1.140625" style="99" customWidth="1"/>
    <col min="3360" max="3360" width="9.140625" style="99"/>
    <col min="3361" max="3362" width="19.42578125" style="99" customWidth="1"/>
    <col min="3363" max="3363" width="9.140625" style="99"/>
    <col min="3364" max="3364" width="12.7109375" style="99" bestFit="1" customWidth="1"/>
    <col min="3365" max="3365" width="9.140625" style="99"/>
    <col min="3366" max="3366" width="11.7109375" style="99" bestFit="1" customWidth="1"/>
    <col min="3367" max="3367" width="10.7109375" style="99" bestFit="1" customWidth="1"/>
    <col min="3368" max="3576" width="9.140625" style="99"/>
    <col min="3577" max="3577" width="1.5703125" style="99" customWidth="1"/>
    <col min="3578" max="3578" width="1.85546875" style="99" customWidth="1"/>
    <col min="3579" max="3579" width="24.28515625" style="99" customWidth="1"/>
    <col min="3580" max="3598" width="0" style="99" hidden="1" customWidth="1"/>
    <col min="3599" max="3599" width="14.5703125" style="99" customWidth="1"/>
    <col min="3600" max="3600" width="1.140625" style="99" customWidth="1"/>
    <col min="3601" max="3603" width="0" style="99" hidden="1" customWidth="1"/>
    <col min="3604" max="3604" width="13.28515625" style="99" customWidth="1"/>
    <col min="3605" max="3605" width="8.28515625" style="99" bestFit="1" customWidth="1"/>
    <col min="3606" max="3606" width="1.28515625" style="99" customWidth="1"/>
    <col min="3607" max="3607" width="0" style="99" hidden="1" customWidth="1"/>
    <col min="3608" max="3608" width="11.85546875" style="99" customWidth="1"/>
    <col min="3609" max="3609" width="7.140625" style="99" bestFit="1" customWidth="1"/>
    <col min="3610" max="3610" width="1.42578125" style="99" customWidth="1"/>
    <col min="3611" max="3611" width="13" style="99" customWidth="1"/>
    <col min="3612" max="3612" width="8.28515625" style="99" bestFit="1" customWidth="1"/>
    <col min="3613" max="3613" width="1.140625" style="99" customWidth="1"/>
    <col min="3614" max="3614" width="15.7109375" style="99" customWidth="1"/>
    <col min="3615" max="3615" width="1.140625" style="99" customWidth="1"/>
    <col min="3616" max="3616" width="9.140625" style="99"/>
    <col min="3617" max="3618" width="19.42578125" style="99" customWidth="1"/>
    <col min="3619" max="3619" width="9.140625" style="99"/>
    <col min="3620" max="3620" width="12.7109375" style="99" bestFit="1" customWidth="1"/>
    <col min="3621" max="3621" width="9.140625" style="99"/>
    <col min="3622" max="3622" width="11.7109375" style="99" bestFit="1" customWidth="1"/>
    <col min="3623" max="3623" width="10.7109375" style="99" bestFit="1" customWidth="1"/>
    <col min="3624" max="3832" width="9.140625" style="99"/>
    <col min="3833" max="3833" width="1.5703125" style="99" customWidth="1"/>
    <col min="3834" max="3834" width="1.85546875" style="99" customWidth="1"/>
    <col min="3835" max="3835" width="24.28515625" style="99" customWidth="1"/>
    <col min="3836" max="3854" width="0" style="99" hidden="1" customWidth="1"/>
    <col min="3855" max="3855" width="14.5703125" style="99" customWidth="1"/>
    <col min="3856" max="3856" width="1.140625" style="99" customWidth="1"/>
    <col min="3857" max="3859" width="0" style="99" hidden="1" customWidth="1"/>
    <col min="3860" max="3860" width="13.28515625" style="99" customWidth="1"/>
    <col min="3861" max="3861" width="8.28515625" style="99" bestFit="1" customWidth="1"/>
    <col min="3862" max="3862" width="1.28515625" style="99" customWidth="1"/>
    <col min="3863" max="3863" width="0" style="99" hidden="1" customWidth="1"/>
    <col min="3864" max="3864" width="11.85546875" style="99" customWidth="1"/>
    <col min="3865" max="3865" width="7.140625" style="99" bestFit="1" customWidth="1"/>
    <col min="3866" max="3866" width="1.42578125" style="99" customWidth="1"/>
    <col min="3867" max="3867" width="13" style="99" customWidth="1"/>
    <col min="3868" max="3868" width="8.28515625" style="99" bestFit="1" customWidth="1"/>
    <col min="3869" max="3869" width="1.140625" style="99" customWidth="1"/>
    <col min="3870" max="3870" width="15.7109375" style="99" customWidth="1"/>
    <col min="3871" max="3871" width="1.140625" style="99" customWidth="1"/>
    <col min="3872" max="3872" width="9.140625" style="99"/>
    <col min="3873" max="3874" width="19.42578125" style="99" customWidth="1"/>
    <col min="3875" max="3875" width="9.140625" style="99"/>
    <col min="3876" max="3876" width="12.7109375" style="99" bestFit="1" customWidth="1"/>
    <col min="3877" max="3877" width="9.140625" style="99"/>
    <col min="3878" max="3878" width="11.7109375" style="99" bestFit="1" customWidth="1"/>
    <col min="3879" max="3879" width="10.7109375" style="99" bestFit="1" customWidth="1"/>
    <col min="3880" max="4088" width="9.140625" style="99"/>
    <col min="4089" max="4089" width="1.5703125" style="99" customWidth="1"/>
    <col min="4090" max="4090" width="1.85546875" style="99" customWidth="1"/>
    <col min="4091" max="4091" width="24.28515625" style="99" customWidth="1"/>
    <col min="4092" max="4110" width="0" style="99" hidden="1" customWidth="1"/>
    <col min="4111" max="4111" width="14.5703125" style="99" customWidth="1"/>
    <col min="4112" max="4112" width="1.140625" style="99" customWidth="1"/>
    <col min="4113" max="4115" width="0" style="99" hidden="1" customWidth="1"/>
    <col min="4116" max="4116" width="13.28515625" style="99" customWidth="1"/>
    <col min="4117" max="4117" width="8.28515625" style="99" bestFit="1" customWidth="1"/>
    <col min="4118" max="4118" width="1.28515625" style="99" customWidth="1"/>
    <col min="4119" max="4119" width="0" style="99" hidden="1" customWidth="1"/>
    <col min="4120" max="4120" width="11.85546875" style="99" customWidth="1"/>
    <col min="4121" max="4121" width="7.140625" style="99" bestFit="1" customWidth="1"/>
    <col min="4122" max="4122" width="1.42578125" style="99" customWidth="1"/>
    <col min="4123" max="4123" width="13" style="99" customWidth="1"/>
    <col min="4124" max="4124" width="8.28515625" style="99" bestFit="1" customWidth="1"/>
    <col min="4125" max="4125" width="1.140625" style="99" customWidth="1"/>
    <col min="4126" max="4126" width="15.7109375" style="99" customWidth="1"/>
    <col min="4127" max="4127" width="1.140625" style="99" customWidth="1"/>
    <col min="4128" max="4128" width="9.140625" style="99"/>
    <col min="4129" max="4130" width="19.42578125" style="99" customWidth="1"/>
    <col min="4131" max="4131" width="9.140625" style="99"/>
    <col min="4132" max="4132" width="12.7109375" style="99" bestFit="1" customWidth="1"/>
    <col min="4133" max="4133" width="9.140625" style="99"/>
    <col min="4134" max="4134" width="11.7109375" style="99" bestFit="1" customWidth="1"/>
    <col min="4135" max="4135" width="10.7109375" style="99" bestFit="1" customWidth="1"/>
    <col min="4136" max="4344" width="9.140625" style="99"/>
    <col min="4345" max="4345" width="1.5703125" style="99" customWidth="1"/>
    <col min="4346" max="4346" width="1.85546875" style="99" customWidth="1"/>
    <col min="4347" max="4347" width="24.28515625" style="99" customWidth="1"/>
    <col min="4348" max="4366" width="0" style="99" hidden="1" customWidth="1"/>
    <col min="4367" max="4367" width="14.5703125" style="99" customWidth="1"/>
    <col min="4368" max="4368" width="1.140625" style="99" customWidth="1"/>
    <col min="4369" max="4371" width="0" style="99" hidden="1" customWidth="1"/>
    <col min="4372" max="4372" width="13.28515625" style="99" customWidth="1"/>
    <col min="4373" max="4373" width="8.28515625" style="99" bestFit="1" customWidth="1"/>
    <col min="4374" max="4374" width="1.28515625" style="99" customWidth="1"/>
    <col min="4375" max="4375" width="0" style="99" hidden="1" customWidth="1"/>
    <col min="4376" max="4376" width="11.85546875" style="99" customWidth="1"/>
    <col min="4377" max="4377" width="7.140625" style="99" bestFit="1" customWidth="1"/>
    <col min="4378" max="4378" width="1.42578125" style="99" customWidth="1"/>
    <col min="4379" max="4379" width="13" style="99" customWidth="1"/>
    <col min="4380" max="4380" width="8.28515625" style="99" bestFit="1" customWidth="1"/>
    <col min="4381" max="4381" width="1.140625" style="99" customWidth="1"/>
    <col min="4382" max="4382" width="15.7109375" style="99" customWidth="1"/>
    <col min="4383" max="4383" width="1.140625" style="99" customWidth="1"/>
    <col min="4384" max="4384" width="9.140625" style="99"/>
    <col min="4385" max="4386" width="19.42578125" style="99" customWidth="1"/>
    <col min="4387" max="4387" width="9.140625" style="99"/>
    <col min="4388" max="4388" width="12.7109375" style="99" bestFit="1" customWidth="1"/>
    <col min="4389" max="4389" width="9.140625" style="99"/>
    <col min="4390" max="4390" width="11.7109375" style="99" bestFit="1" customWidth="1"/>
    <col min="4391" max="4391" width="10.7109375" style="99" bestFit="1" customWidth="1"/>
    <col min="4392" max="4600" width="9.140625" style="99"/>
    <col min="4601" max="4601" width="1.5703125" style="99" customWidth="1"/>
    <col min="4602" max="4602" width="1.85546875" style="99" customWidth="1"/>
    <col min="4603" max="4603" width="24.28515625" style="99" customWidth="1"/>
    <col min="4604" max="4622" width="0" style="99" hidden="1" customWidth="1"/>
    <col min="4623" max="4623" width="14.5703125" style="99" customWidth="1"/>
    <col min="4624" max="4624" width="1.140625" style="99" customWidth="1"/>
    <col min="4625" max="4627" width="0" style="99" hidden="1" customWidth="1"/>
    <col min="4628" max="4628" width="13.28515625" style="99" customWidth="1"/>
    <col min="4629" max="4629" width="8.28515625" style="99" bestFit="1" customWidth="1"/>
    <col min="4630" max="4630" width="1.28515625" style="99" customWidth="1"/>
    <col min="4631" max="4631" width="0" style="99" hidden="1" customWidth="1"/>
    <col min="4632" max="4632" width="11.85546875" style="99" customWidth="1"/>
    <col min="4633" max="4633" width="7.140625" style="99" bestFit="1" customWidth="1"/>
    <col min="4634" max="4634" width="1.42578125" style="99" customWidth="1"/>
    <col min="4635" max="4635" width="13" style="99" customWidth="1"/>
    <col min="4636" max="4636" width="8.28515625" style="99" bestFit="1" customWidth="1"/>
    <col min="4637" max="4637" width="1.140625" style="99" customWidth="1"/>
    <col min="4638" max="4638" width="15.7109375" style="99" customWidth="1"/>
    <col min="4639" max="4639" width="1.140625" style="99" customWidth="1"/>
    <col min="4640" max="4640" width="9.140625" style="99"/>
    <col min="4641" max="4642" width="19.42578125" style="99" customWidth="1"/>
    <col min="4643" max="4643" width="9.140625" style="99"/>
    <col min="4644" max="4644" width="12.7109375" style="99" bestFit="1" customWidth="1"/>
    <col min="4645" max="4645" width="9.140625" style="99"/>
    <col min="4646" max="4646" width="11.7109375" style="99" bestFit="1" customWidth="1"/>
    <col min="4647" max="4647" width="10.7109375" style="99" bestFit="1" customWidth="1"/>
    <col min="4648" max="4856" width="9.140625" style="99"/>
    <col min="4857" max="4857" width="1.5703125" style="99" customWidth="1"/>
    <col min="4858" max="4858" width="1.85546875" style="99" customWidth="1"/>
    <col min="4859" max="4859" width="24.28515625" style="99" customWidth="1"/>
    <col min="4860" max="4878" width="0" style="99" hidden="1" customWidth="1"/>
    <col min="4879" max="4879" width="14.5703125" style="99" customWidth="1"/>
    <col min="4880" max="4880" width="1.140625" style="99" customWidth="1"/>
    <col min="4881" max="4883" width="0" style="99" hidden="1" customWidth="1"/>
    <col min="4884" max="4884" width="13.28515625" style="99" customWidth="1"/>
    <col min="4885" max="4885" width="8.28515625" style="99" bestFit="1" customWidth="1"/>
    <col min="4886" max="4886" width="1.28515625" style="99" customWidth="1"/>
    <col min="4887" max="4887" width="0" style="99" hidden="1" customWidth="1"/>
    <col min="4888" max="4888" width="11.85546875" style="99" customWidth="1"/>
    <col min="4889" max="4889" width="7.140625" style="99" bestFit="1" customWidth="1"/>
    <col min="4890" max="4890" width="1.42578125" style="99" customWidth="1"/>
    <col min="4891" max="4891" width="13" style="99" customWidth="1"/>
    <col min="4892" max="4892" width="8.28515625" style="99" bestFit="1" customWidth="1"/>
    <col min="4893" max="4893" width="1.140625" style="99" customWidth="1"/>
    <col min="4894" max="4894" width="15.7109375" style="99" customWidth="1"/>
    <col min="4895" max="4895" width="1.140625" style="99" customWidth="1"/>
    <col min="4896" max="4896" width="9.140625" style="99"/>
    <col min="4897" max="4898" width="19.42578125" style="99" customWidth="1"/>
    <col min="4899" max="4899" width="9.140625" style="99"/>
    <col min="4900" max="4900" width="12.7109375" style="99" bestFit="1" customWidth="1"/>
    <col min="4901" max="4901" width="9.140625" style="99"/>
    <col min="4902" max="4902" width="11.7109375" style="99" bestFit="1" customWidth="1"/>
    <col min="4903" max="4903" width="10.7109375" style="99" bestFit="1" customWidth="1"/>
    <col min="4904" max="5112" width="9.140625" style="99"/>
    <col min="5113" max="5113" width="1.5703125" style="99" customWidth="1"/>
    <col min="5114" max="5114" width="1.85546875" style="99" customWidth="1"/>
    <col min="5115" max="5115" width="24.28515625" style="99" customWidth="1"/>
    <col min="5116" max="5134" width="0" style="99" hidden="1" customWidth="1"/>
    <col min="5135" max="5135" width="14.5703125" style="99" customWidth="1"/>
    <col min="5136" max="5136" width="1.140625" style="99" customWidth="1"/>
    <col min="5137" max="5139" width="0" style="99" hidden="1" customWidth="1"/>
    <col min="5140" max="5140" width="13.28515625" style="99" customWidth="1"/>
    <col min="5141" max="5141" width="8.28515625" style="99" bestFit="1" customWidth="1"/>
    <col min="5142" max="5142" width="1.28515625" style="99" customWidth="1"/>
    <col min="5143" max="5143" width="0" style="99" hidden="1" customWidth="1"/>
    <col min="5144" max="5144" width="11.85546875" style="99" customWidth="1"/>
    <col min="5145" max="5145" width="7.140625" style="99" bestFit="1" customWidth="1"/>
    <col min="5146" max="5146" width="1.42578125" style="99" customWidth="1"/>
    <col min="5147" max="5147" width="13" style="99" customWidth="1"/>
    <col min="5148" max="5148" width="8.28515625" style="99" bestFit="1" customWidth="1"/>
    <col min="5149" max="5149" width="1.140625" style="99" customWidth="1"/>
    <col min="5150" max="5150" width="15.7109375" style="99" customWidth="1"/>
    <col min="5151" max="5151" width="1.140625" style="99" customWidth="1"/>
    <col min="5152" max="5152" width="9.140625" style="99"/>
    <col min="5153" max="5154" width="19.42578125" style="99" customWidth="1"/>
    <col min="5155" max="5155" width="9.140625" style="99"/>
    <col min="5156" max="5156" width="12.7109375" style="99" bestFit="1" customWidth="1"/>
    <col min="5157" max="5157" width="9.140625" style="99"/>
    <col min="5158" max="5158" width="11.7109375" style="99" bestFit="1" customWidth="1"/>
    <col min="5159" max="5159" width="10.7109375" style="99" bestFit="1" customWidth="1"/>
    <col min="5160" max="5368" width="9.140625" style="99"/>
    <col min="5369" max="5369" width="1.5703125" style="99" customWidth="1"/>
    <col min="5370" max="5370" width="1.85546875" style="99" customWidth="1"/>
    <col min="5371" max="5371" width="24.28515625" style="99" customWidth="1"/>
    <col min="5372" max="5390" width="0" style="99" hidden="1" customWidth="1"/>
    <col min="5391" max="5391" width="14.5703125" style="99" customWidth="1"/>
    <col min="5392" max="5392" width="1.140625" style="99" customWidth="1"/>
    <col min="5393" max="5395" width="0" style="99" hidden="1" customWidth="1"/>
    <col min="5396" max="5396" width="13.28515625" style="99" customWidth="1"/>
    <col min="5397" max="5397" width="8.28515625" style="99" bestFit="1" customWidth="1"/>
    <col min="5398" max="5398" width="1.28515625" style="99" customWidth="1"/>
    <col min="5399" max="5399" width="0" style="99" hidden="1" customWidth="1"/>
    <col min="5400" max="5400" width="11.85546875" style="99" customWidth="1"/>
    <col min="5401" max="5401" width="7.140625" style="99" bestFit="1" customWidth="1"/>
    <col min="5402" max="5402" width="1.42578125" style="99" customWidth="1"/>
    <col min="5403" max="5403" width="13" style="99" customWidth="1"/>
    <col min="5404" max="5404" width="8.28515625" style="99" bestFit="1" customWidth="1"/>
    <col min="5405" max="5405" width="1.140625" style="99" customWidth="1"/>
    <col min="5406" max="5406" width="15.7109375" style="99" customWidth="1"/>
    <col min="5407" max="5407" width="1.140625" style="99" customWidth="1"/>
    <col min="5408" max="5408" width="9.140625" style="99"/>
    <col min="5409" max="5410" width="19.42578125" style="99" customWidth="1"/>
    <col min="5411" max="5411" width="9.140625" style="99"/>
    <col min="5412" max="5412" width="12.7109375" style="99" bestFit="1" customWidth="1"/>
    <col min="5413" max="5413" width="9.140625" style="99"/>
    <col min="5414" max="5414" width="11.7109375" style="99" bestFit="1" customWidth="1"/>
    <col min="5415" max="5415" width="10.7109375" style="99" bestFit="1" customWidth="1"/>
    <col min="5416" max="5624" width="9.140625" style="99"/>
    <col min="5625" max="5625" width="1.5703125" style="99" customWidth="1"/>
    <col min="5626" max="5626" width="1.85546875" style="99" customWidth="1"/>
    <col min="5627" max="5627" width="24.28515625" style="99" customWidth="1"/>
    <col min="5628" max="5646" width="0" style="99" hidden="1" customWidth="1"/>
    <col min="5647" max="5647" width="14.5703125" style="99" customWidth="1"/>
    <col min="5648" max="5648" width="1.140625" style="99" customWidth="1"/>
    <col min="5649" max="5651" width="0" style="99" hidden="1" customWidth="1"/>
    <col min="5652" max="5652" width="13.28515625" style="99" customWidth="1"/>
    <col min="5653" max="5653" width="8.28515625" style="99" bestFit="1" customWidth="1"/>
    <col min="5654" max="5654" width="1.28515625" style="99" customWidth="1"/>
    <col min="5655" max="5655" width="0" style="99" hidden="1" customWidth="1"/>
    <col min="5656" max="5656" width="11.85546875" style="99" customWidth="1"/>
    <col min="5657" max="5657" width="7.140625" style="99" bestFit="1" customWidth="1"/>
    <col min="5658" max="5658" width="1.42578125" style="99" customWidth="1"/>
    <col min="5659" max="5659" width="13" style="99" customWidth="1"/>
    <col min="5660" max="5660" width="8.28515625" style="99" bestFit="1" customWidth="1"/>
    <col min="5661" max="5661" width="1.140625" style="99" customWidth="1"/>
    <col min="5662" max="5662" width="15.7109375" style="99" customWidth="1"/>
    <col min="5663" max="5663" width="1.140625" style="99" customWidth="1"/>
    <col min="5664" max="5664" width="9.140625" style="99"/>
    <col min="5665" max="5666" width="19.42578125" style="99" customWidth="1"/>
    <col min="5667" max="5667" width="9.140625" style="99"/>
    <col min="5668" max="5668" width="12.7109375" style="99" bestFit="1" customWidth="1"/>
    <col min="5669" max="5669" width="9.140625" style="99"/>
    <col min="5670" max="5670" width="11.7109375" style="99" bestFit="1" customWidth="1"/>
    <col min="5671" max="5671" width="10.7109375" style="99" bestFit="1" customWidth="1"/>
    <col min="5672" max="5880" width="9.140625" style="99"/>
    <col min="5881" max="5881" width="1.5703125" style="99" customWidth="1"/>
    <col min="5882" max="5882" width="1.85546875" style="99" customWidth="1"/>
    <col min="5883" max="5883" width="24.28515625" style="99" customWidth="1"/>
    <col min="5884" max="5902" width="0" style="99" hidden="1" customWidth="1"/>
    <col min="5903" max="5903" width="14.5703125" style="99" customWidth="1"/>
    <col min="5904" max="5904" width="1.140625" style="99" customWidth="1"/>
    <col min="5905" max="5907" width="0" style="99" hidden="1" customWidth="1"/>
    <col min="5908" max="5908" width="13.28515625" style="99" customWidth="1"/>
    <col min="5909" max="5909" width="8.28515625" style="99" bestFit="1" customWidth="1"/>
    <col min="5910" max="5910" width="1.28515625" style="99" customWidth="1"/>
    <col min="5911" max="5911" width="0" style="99" hidden="1" customWidth="1"/>
    <col min="5912" max="5912" width="11.85546875" style="99" customWidth="1"/>
    <col min="5913" max="5913" width="7.140625" style="99" bestFit="1" customWidth="1"/>
    <col min="5914" max="5914" width="1.42578125" style="99" customWidth="1"/>
    <col min="5915" max="5915" width="13" style="99" customWidth="1"/>
    <col min="5916" max="5916" width="8.28515625" style="99" bestFit="1" customWidth="1"/>
    <col min="5917" max="5917" width="1.140625" style="99" customWidth="1"/>
    <col min="5918" max="5918" width="15.7109375" style="99" customWidth="1"/>
    <col min="5919" max="5919" width="1.140625" style="99" customWidth="1"/>
    <col min="5920" max="5920" width="9.140625" style="99"/>
    <col min="5921" max="5922" width="19.42578125" style="99" customWidth="1"/>
    <col min="5923" max="5923" width="9.140625" style="99"/>
    <col min="5924" max="5924" width="12.7109375" style="99" bestFit="1" customWidth="1"/>
    <col min="5925" max="5925" width="9.140625" style="99"/>
    <col min="5926" max="5926" width="11.7109375" style="99" bestFit="1" customWidth="1"/>
    <col min="5927" max="5927" width="10.7109375" style="99" bestFit="1" customWidth="1"/>
    <col min="5928" max="6136" width="9.140625" style="99"/>
    <col min="6137" max="6137" width="1.5703125" style="99" customWidth="1"/>
    <col min="6138" max="6138" width="1.85546875" style="99" customWidth="1"/>
    <col min="6139" max="6139" width="24.28515625" style="99" customWidth="1"/>
    <col min="6140" max="6158" width="0" style="99" hidden="1" customWidth="1"/>
    <col min="6159" max="6159" width="14.5703125" style="99" customWidth="1"/>
    <col min="6160" max="6160" width="1.140625" style="99" customWidth="1"/>
    <col min="6161" max="6163" width="0" style="99" hidden="1" customWidth="1"/>
    <col min="6164" max="6164" width="13.28515625" style="99" customWidth="1"/>
    <col min="6165" max="6165" width="8.28515625" style="99" bestFit="1" customWidth="1"/>
    <col min="6166" max="6166" width="1.28515625" style="99" customWidth="1"/>
    <col min="6167" max="6167" width="0" style="99" hidden="1" customWidth="1"/>
    <col min="6168" max="6168" width="11.85546875" style="99" customWidth="1"/>
    <col min="6169" max="6169" width="7.140625" style="99" bestFit="1" customWidth="1"/>
    <col min="6170" max="6170" width="1.42578125" style="99" customWidth="1"/>
    <col min="6171" max="6171" width="13" style="99" customWidth="1"/>
    <col min="6172" max="6172" width="8.28515625" style="99" bestFit="1" customWidth="1"/>
    <col min="6173" max="6173" width="1.140625" style="99" customWidth="1"/>
    <col min="6174" max="6174" width="15.7109375" style="99" customWidth="1"/>
    <col min="6175" max="6175" width="1.140625" style="99" customWidth="1"/>
    <col min="6176" max="6176" width="9.140625" style="99"/>
    <col min="6177" max="6178" width="19.42578125" style="99" customWidth="1"/>
    <col min="6179" max="6179" width="9.140625" style="99"/>
    <col min="6180" max="6180" width="12.7109375" style="99" bestFit="1" customWidth="1"/>
    <col min="6181" max="6181" width="9.140625" style="99"/>
    <col min="6182" max="6182" width="11.7109375" style="99" bestFit="1" customWidth="1"/>
    <col min="6183" max="6183" width="10.7109375" style="99" bestFit="1" customWidth="1"/>
    <col min="6184" max="6392" width="9.140625" style="99"/>
    <col min="6393" max="6393" width="1.5703125" style="99" customWidth="1"/>
    <col min="6394" max="6394" width="1.85546875" style="99" customWidth="1"/>
    <col min="6395" max="6395" width="24.28515625" style="99" customWidth="1"/>
    <col min="6396" max="6414" width="0" style="99" hidden="1" customWidth="1"/>
    <col min="6415" max="6415" width="14.5703125" style="99" customWidth="1"/>
    <col min="6416" max="6416" width="1.140625" style="99" customWidth="1"/>
    <col min="6417" max="6419" width="0" style="99" hidden="1" customWidth="1"/>
    <col min="6420" max="6420" width="13.28515625" style="99" customWidth="1"/>
    <col min="6421" max="6421" width="8.28515625" style="99" bestFit="1" customWidth="1"/>
    <col min="6422" max="6422" width="1.28515625" style="99" customWidth="1"/>
    <col min="6423" max="6423" width="0" style="99" hidden="1" customWidth="1"/>
    <col min="6424" max="6424" width="11.85546875" style="99" customWidth="1"/>
    <col min="6425" max="6425" width="7.140625" style="99" bestFit="1" customWidth="1"/>
    <col min="6426" max="6426" width="1.42578125" style="99" customWidth="1"/>
    <col min="6427" max="6427" width="13" style="99" customWidth="1"/>
    <col min="6428" max="6428" width="8.28515625" style="99" bestFit="1" customWidth="1"/>
    <col min="6429" max="6429" width="1.140625" style="99" customWidth="1"/>
    <col min="6430" max="6430" width="15.7109375" style="99" customWidth="1"/>
    <col min="6431" max="6431" width="1.140625" style="99" customWidth="1"/>
    <col min="6432" max="6432" width="9.140625" style="99"/>
    <col min="6433" max="6434" width="19.42578125" style="99" customWidth="1"/>
    <col min="6435" max="6435" width="9.140625" style="99"/>
    <col min="6436" max="6436" width="12.7109375" style="99" bestFit="1" customWidth="1"/>
    <col min="6437" max="6437" width="9.140625" style="99"/>
    <col min="6438" max="6438" width="11.7109375" style="99" bestFit="1" customWidth="1"/>
    <col min="6439" max="6439" width="10.7109375" style="99" bestFit="1" customWidth="1"/>
    <col min="6440" max="6648" width="9.140625" style="99"/>
    <col min="6649" max="6649" width="1.5703125" style="99" customWidth="1"/>
    <col min="6650" max="6650" width="1.85546875" style="99" customWidth="1"/>
    <col min="6651" max="6651" width="24.28515625" style="99" customWidth="1"/>
    <col min="6652" max="6670" width="0" style="99" hidden="1" customWidth="1"/>
    <col min="6671" max="6671" width="14.5703125" style="99" customWidth="1"/>
    <col min="6672" max="6672" width="1.140625" style="99" customWidth="1"/>
    <col min="6673" max="6675" width="0" style="99" hidden="1" customWidth="1"/>
    <col min="6676" max="6676" width="13.28515625" style="99" customWidth="1"/>
    <col min="6677" max="6677" width="8.28515625" style="99" bestFit="1" customWidth="1"/>
    <col min="6678" max="6678" width="1.28515625" style="99" customWidth="1"/>
    <col min="6679" max="6679" width="0" style="99" hidden="1" customWidth="1"/>
    <col min="6680" max="6680" width="11.85546875" style="99" customWidth="1"/>
    <col min="6681" max="6681" width="7.140625" style="99" bestFit="1" customWidth="1"/>
    <col min="6682" max="6682" width="1.42578125" style="99" customWidth="1"/>
    <col min="6683" max="6683" width="13" style="99" customWidth="1"/>
    <col min="6684" max="6684" width="8.28515625" style="99" bestFit="1" customWidth="1"/>
    <col min="6685" max="6685" width="1.140625" style="99" customWidth="1"/>
    <col min="6686" max="6686" width="15.7109375" style="99" customWidth="1"/>
    <col min="6687" max="6687" width="1.140625" style="99" customWidth="1"/>
    <col min="6688" max="6688" width="9.140625" style="99"/>
    <col min="6689" max="6690" width="19.42578125" style="99" customWidth="1"/>
    <col min="6691" max="6691" width="9.140625" style="99"/>
    <col min="6692" max="6692" width="12.7109375" style="99" bestFit="1" customWidth="1"/>
    <col min="6693" max="6693" width="9.140625" style="99"/>
    <col min="6694" max="6694" width="11.7109375" style="99" bestFit="1" customWidth="1"/>
    <col min="6695" max="6695" width="10.7109375" style="99" bestFit="1" customWidth="1"/>
    <col min="6696" max="6904" width="9.140625" style="99"/>
    <col min="6905" max="6905" width="1.5703125" style="99" customWidth="1"/>
    <col min="6906" max="6906" width="1.85546875" style="99" customWidth="1"/>
    <col min="6907" max="6907" width="24.28515625" style="99" customWidth="1"/>
    <col min="6908" max="6926" width="0" style="99" hidden="1" customWidth="1"/>
    <col min="6927" max="6927" width="14.5703125" style="99" customWidth="1"/>
    <col min="6928" max="6928" width="1.140625" style="99" customWidth="1"/>
    <col min="6929" max="6931" width="0" style="99" hidden="1" customWidth="1"/>
    <col min="6932" max="6932" width="13.28515625" style="99" customWidth="1"/>
    <col min="6933" max="6933" width="8.28515625" style="99" bestFit="1" customWidth="1"/>
    <col min="6934" max="6934" width="1.28515625" style="99" customWidth="1"/>
    <col min="6935" max="6935" width="0" style="99" hidden="1" customWidth="1"/>
    <col min="6936" max="6936" width="11.85546875" style="99" customWidth="1"/>
    <col min="6937" max="6937" width="7.140625" style="99" bestFit="1" customWidth="1"/>
    <col min="6938" max="6938" width="1.42578125" style="99" customWidth="1"/>
    <col min="6939" max="6939" width="13" style="99" customWidth="1"/>
    <col min="6940" max="6940" width="8.28515625" style="99" bestFit="1" customWidth="1"/>
    <col min="6941" max="6941" width="1.140625" style="99" customWidth="1"/>
    <col min="6942" max="6942" width="15.7109375" style="99" customWidth="1"/>
    <col min="6943" max="6943" width="1.140625" style="99" customWidth="1"/>
    <col min="6944" max="6944" width="9.140625" style="99"/>
    <col min="6945" max="6946" width="19.42578125" style="99" customWidth="1"/>
    <col min="6947" max="6947" width="9.140625" style="99"/>
    <col min="6948" max="6948" width="12.7109375" style="99" bestFit="1" customWidth="1"/>
    <col min="6949" max="6949" width="9.140625" style="99"/>
    <col min="6950" max="6950" width="11.7109375" style="99" bestFit="1" customWidth="1"/>
    <col min="6951" max="6951" width="10.7109375" style="99" bestFit="1" customWidth="1"/>
    <col min="6952" max="7160" width="9.140625" style="99"/>
    <col min="7161" max="7161" width="1.5703125" style="99" customWidth="1"/>
    <col min="7162" max="7162" width="1.85546875" style="99" customWidth="1"/>
    <col min="7163" max="7163" width="24.28515625" style="99" customWidth="1"/>
    <col min="7164" max="7182" width="0" style="99" hidden="1" customWidth="1"/>
    <col min="7183" max="7183" width="14.5703125" style="99" customWidth="1"/>
    <col min="7184" max="7184" width="1.140625" style="99" customWidth="1"/>
    <col min="7185" max="7187" width="0" style="99" hidden="1" customWidth="1"/>
    <col min="7188" max="7188" width="13.28515625" style="99" customWidth="1"/>
    <col min="7189" max="7189" width="8.28515625" style="99" bestFit="1" customWidth="1"/>
    <col min="7190" max="7190" width="1.28515625" style="99" customWidth="1"/>
    <col min="7191" max="7191" width="0" style="99" hidden="1" customWidth="1"/>
    <col min="7192" max="7192" width="11.85546875" style="99" customWidth="1"/>
    <col min="7193" max="7193" width="7.140625" style="99" bestFit="1" customWidth="1"/>
    <col min="7194" max="7194" width="1.42578125" style="99" customWidth="1"/>
    <col min="7195" max="7195" width="13" style="99" customWidth="1"/>
    <col min="7196" max="7196" width="8.28515625" style="99" bestFit="1" customWidth="1"/>
    <col min="7197" max="7197" width="1.140625" style="99" customWidth="1"/>
    <col min="7198" max="7198" width="15.7109375" style="99" customWidth="1"/>
    <col min="7199" max="7199" width="1.140625" style="99" customWidth="1"/>
    <col min="7200" max="7200" width="9.140625" style="99"/>
    <col min="7201" max="7202" width="19.42578125" style="99" customWidth="1"/>
    <col min="7203" max="7203" width="9.140625" style="99"/>
    <col min="7204" max="7204" width="12.7109375" style="99" bestFit="1" customWidth="1"/>
    <col min="7205" max="7205" width="9.140625" style="99"/>
    <col min="7206" max="7206" width="11.7109375" style="99" bestFit="1" customWidth="1"/>
    <col min="7207" max="7207" width="10.7109375" style="99" bestFit="1" customWidth="1"/>
    <col min="7208" max="7416" width="9.140625" style="99"/>
    <col min="7417" max="7417" width="1.5703125" style="99" customWidth="1"/>
    <col min="7418" max="7418" width="1.85546875" style="99" customWidth="1"/>
    <col min="7419" max="7419" width="24.28515625" style="99" customWidth="1"/>
    <col min="7420" max="7438" width="0" style="99" hidden="1" customWidth="1"/>
    <col min="7439" max="7439" width="14.5703125" style="99" customWidth="1"/>
    <col min="7440" max="7440" width="1.140625" style="99" customWidth="1"/>
    <col min="7441" max="7443" width="0" style="99" hidden="1" customWidth="1"/>
    <col min="7444" max="7444" width="13.28515625" style="99" customWidth="1"/>
    <col min="7445" max="7445" width="8.28515625" style="99" bestFit="1" customWidth="1"/>
    <col min="7446" max="7446" width="1.28515625" style="99" customWidth="1"/>
    <col min="7447" max="7447" width="0" style="99" hidden="1" customWidth="1"/>
    <col min="7448" max="7448" width="11.85546875" style="99" customWidth="1"/>
    <col min="7449" max="7449" width="7.140625" style="99" bestFit="1" customWidth="1"/>
    <col min="7450" max="7450" width="1.42578125" style="99" customWidth="1"/>
    <col min="7451" max="7451" width="13" style="99" customWidth="1"/>
    <col min="7452" max="7452" width="8.28515625" style="99" bestFit="1" customWidth="1"/>
    <col min="7453" max="7453" width="1.140625" style="99" customWidth="1"/>
    <col min="7454" max="7454" width="15.7109375" style="99" customWidth="1"/>
    <col min="7455" max="7455" width="1.140625" style="99" customWidth="1"/>
    <col min="7456" max="7456" width="9.140625" style="99"/>
    <col min="7457" max="7458" width="19.42578125" style="99" customWidth="1"/>
    <col min="7459" max="7459" width="9.140625" style="99"/>
    <col min="7460" max="7460" width="12.7109375" style="99" bestFit="1" customWidth="1"/>
    <col min="7461" max="7461" width="9.140625" style="99"/>
    <col min="7462" max="7462" width="11.7109375" style="99" bestFit="1" customWidth="1"/>
    <col min="7463" max="7463" width="10.7109375" style="99" bestFit="1" customWidth="1"/>
    <col min="7464" max="7672" width="9.140625" style="99"/>
    <col min="7673" max="7673" width="1.5703125" style="99" customWidth="1"/>
    <col min="7674" max="7674" width="1.85546875" style="99" customWidth="1"/>
    <col min="7675" max="7675" width="24.28515625" style="99" customWidth="1"/>
    <col min="7676" max="7694" width="0" style="99" hidden="1" customWidth="1"/>
    <col min="7695" max="7695" width="14.5703125" style="99" customWidth="1"/>
    <col min="7696" max="7696" width="1.140625" style="99" customWidth="1"/>
    <col min="7697" max="7699" width="0" style="99" hidden="1" customWidth="1"/>
    <col min="7700" max="7700" width="13.28515625" style="99" customWidth="1"/>
    <col min="7701" max="7701" width="8.28515625" style="99" bestFit="1" customWidth="1"/>
    <col min="7702" max="7702" width="1.28515625" style="99" customWidth="1"/>
    <col min="7703" max="7703" width="0" style="99" hidden="1" customWidth="1"/>
    <col min="7704" max="7704" width="11.85546875" style="99" customWidth="1"/>
    <col min="7705" max="7705" width="7.140625" style="99" bestFit="1" customWidth="1"/>
    <col min="7706" max="7706" width="1.42578125" style="99" customWidth="1"/>
    <col min="7707" max="7707" width="13" style="99" customWidth="1"/>
    <col min="7708" max="7708" width="8.28515625" style="99" bestFit="1" customWidth="1"/>
    <col min="7709" max="7709" width="1.140625" style="99" customWidth="1"/>
    <col min="7710" max="7710" width="15.7109375" style="99" customWidth="1"/>
    <col min="7711" max="7711" width="1.140625" style="99" customWidth="1"/>
    <col min="7712" max="7712" width="9.140625" style="99"/>
    <col min="7713" max="7714" width="19.42578125" style="99" customWidth="1"/>
    <col min="7715" max="7715" width="9.140625" style="99"/>
    <col min="7716" max="7716" width="12.7109375" style="99" bestFit="1" customWidth="1"/>
    <col min="7717" max="7717" width="9.140625" style="99"/>
    <col min="7718" max="7718" width="11.7109375" style="99" bestFit="1" customWidth="1"/>
    <col min="7719" max="7719" width="10.7109375" style="99" bestFit="1" customWidth="1"/>
    <col min="7720" max="7928" width="9.140625" style="99"/>
    <col min="7929" max="7929" width="1.5703125" style="99" customWidth="1"/>
    <col min="7930" max="7930" width="1.85546875" style="99" customWidth="1"/>
    <col min="7931" max="7931" width="24.28515625" style="99" customWidth="1"/>
    <col min="7932" max="7950" width="0" style="99" hidden="1" customWidth="1"/>
    <col min="7951" max="7951" width="14.5703125" style="99" customWidth="1"/>
    <col min="7952" max="7952" width="1.140625" style="99" customWidth="1"/>
    <col min="7953" max="7955" width="0" style="99" hidden="1" customWidth="1"/>
    <col min="7956" max="7956" width="13.28515625" style="99" customWidth="1"/>
    <col min="7957" max="7957" width="8.28515625" style="99" bestFit="1" customWidth="1"/>
    <col min="7958" max="7958" width="1.28515625" style="99" customWidth="1"/>
    <col min="7959" max="7959" width="0" style="99" hidden="1" customWidth="1"/>
    <col min="7960" max="7960" width="11.85546875" style="99" customWidth="1"/>
    <col min="7961" max="7961" width="7.140625" style="99" bestFit="1" customWidth="1"/>
    <col min="7962" max="7962" width="1.42578125" style="99" customWidth="1"/>
    <col min="7963" max="7963" width="13" style="99" customWidth="1"/>
    <col min="7964" max="7964" width="8.28515625" style="99" bestFit="1" customWidth="1"/>
    <col min="7965" max="7965" width="1.140625" style="99" customWidth="1"/>
    <col min="7966" max="7966" width="15.7109375" style="99" customWidth="1"/>
    <col min="7967" max="7967" width="1.140625" style="99" customWidth="1"/>
    <col min="7968" max="7968" width="9.140625" style="99"/>
    <col min="7969" max="7970" width="19.42578125" style="99" customWidth="1"/>
    <col min="7971" max="7971" width="9.140625" style="99"/>
    <col min="7972" max="7972" width="12.7109375" style="99" bestFit="1" customWidth="1"/>
    <col min="7973" max="7973" width="9.140625" style="99"/>
    <col min="7974" max="7974" width="11.7109375" style="99" bestFit="1" customWidth="1"/>
    <col min="7975" max="7975" width="10.7109375" style="99" bestFit="1" customWidth="1"/>
    <col min="7976" max="8184" width="9.140625" style="99"/>
    <col min="8185" max="8185" width="1.5703125" style="99" customWidth="1"/>
    <col min="8186" max="8186" width="1.85546875" style="99" customWidth="1"/>
    <col min="8187" max="8187" width="24.28515625" style="99" customWidth="1"/>
    <col min="8188" max="8206" width="0" style="99" hidden="1" customWidth="1"/>
    <col min="8207" max="8207" width="14.5703125" style="99" customWidth="1"/>
    <col min="8208" max="8208" width="1.140625" style="99" customWidth="1"/>
    <col min="8209" max="8211" width="0" style="99" hidden="1" customWidth="1"/>
    <col min="8212" max="8212" width="13.28515625" style="99" customWidth="1"/>
    <col min="8213" max="8213" width="8.28515625" style="99" bestFit="1" customWidth="1"/>
    <col min="8214" max="8214" width="1.28515625" style="99" customWidth="1"/>
    <col min="8215" max="8215" width="0" style="99" hidden="1" customWidth="1"/>
    <col min="8216" max="8216" width="11.85546875" style="99" customWidth="1"/>
    <col min="8217" max="8217" width="7.140625" style="99" bestFit="1" customWidth="1"/>
    <col min="8218" max="8218" width="1.42578125" style="99" customWidth="1"/>
    <col min="8219" max="8219" width="13" style="99" customWidth="1"/>
    <col min="8220" max="8220" width="8.28515625" style="99" bestFit="1" customWidth="1"/>
    <col min="8221" max="8221" width="1.140625" style="99" customWidth="1"/>
    <col min="8222" max="8222" width="15.7109375" style="99" customWidth="1"/>
    <col min="8223" max="8223" width="1.140625" style="99" customWidth="1"/>
    <col min="8224" max="8224" width="9.140625" style="99"/>
    <col min="8225" max="8226" width="19.42578125" style="99" customWidth="1"/>
    <col min="8227" max="8227" width="9.140625" style="99"/>
    <col min="8228" max="8228" width="12.7109375" style="99" bestFit="1" customWidth="1"/>
    <col min="8229" max="8229" width="9.140625" style="99"/>
    <col min="8230" max="8230" width="11.7109375" style="99" bestFit="1" customWidth="1"/>
    <col min="8231" max="8231" width="10.7109375" style="99" bestFit="1" customWidth="1"/>
    <col min="8232" max="8440" width="9.140625" style="99"/>
    <col min="8441" max="8441" width="1.5703125" style="99" customWidth="1"/>
    <col min="8442" max="8442" width="1.85546875" style="99" customWidth="1"/>
    <col min="8443" max="8443" width="24.28515625" style="99" customWidth="1"/>
    <col min="8444" max="8462" width="0" style="99" hidden="1" customWidth="1"/>
    <col min="8463" max="8463" width="14.5703125" style="99" customWidth="1"/>
    <col min="8464" max="8464" width="1.140625" style="99" customWidth="1"/>
    <col min="8465" max="8467" width="0" style="99" hidden="1" customWidth="1"/>
    <col min="8468" max="8468" width="13.28515625" style="99" customWidth="1"/>
    <col min="8469" max="8469" width="8.28515625" style="99" bestFit="1" customWidth="1"/>
    <col min="8470" max="8470" width="1.28515625" style="99" customWidth="1"/>
    <col min="8471" max="8471" width="0" style="99" hidden="1" customWidth="1"/>
    <col min="8472" max="8472" width="11.85546875" style="99" customWidth="1"/>
    <col min="8473" max="8473" width="7.140625" style="99" bestFit="1" customWidth="1"/>
    <col min="8474" max="8474" width="1.42578125" style="99" customWidth="1"/>
    <col min="8475" max="8475" width="13" style="99" customWidth="1"/>
    <col min="8476" max="8476" width="8.28515625" style="99" bestFit="1" customWidth="1"/>
    <col min="8477" max="8477" width="1.140625" style="99" customWidth="1"/>
    <col min="8478" max="8478" width="15.7109375" style="99" customWidth="1"/>
    <col min="8479" max="8479" width="1.140625" style="99" customWidth="1"/>
    <col min="8480" max="8480" width="9.140625" style="99"/>
    <col min="8481" max="8482" width="19.42578125" style="99" customWidth="1"/>
    <col min="8483" max="8483" width="9.140625" style="99"/>
    <col min="8484" max="8484" width="12.7109375" style="99" bestFit="1" customWidth="1"/>
    <col min="8485" max="8485" width="9.140625" style="99"/>
    <col min="8486" max="8486" width="11.7109375" style="99" bestFit="1" customWidth="1"/>
    <col min="8487" max="8487" width="10.7109375" style="99" bestFit="1" customWidth="1"/>
    <col min="8488" max="8696" width="9.140625" style="99"/>
    <col min="8697" max="8697" width="1.5703125" style="99" customWidth="1"/>
    <col min="8698" max="8698" width="1.85546875" style="99" customWidth="1"/>
    <col min="8699" max="8699" width="24.28515625" style="99" customWidth="1"/>
    <col min="8700" max="8718" width="0" style="99" hidden="1" customWidth="1"/>
    <col min="8719" max="8719" width="14.5703125" style="99" customWidth="1"/>
    <col min="8720" max="8720" width="1.140625" style="99" customWidth="1"/>
    <col min="8721" max="8723" width="0" style="99" hidden="1" customWidth="1"/>
    <col min="8724" max="8724" width="13.28515625" style="99" customWidth="1"/>
    <col min="8725" max="8725" width="8.28515625" style="99" bestFit="1" customWidth="1"/>
    <col min="8726" max="8726" width="1.28515625" style="99" customWidth="1"/>
    <col min="8727" max="8727" width="0" style="99" hidden="1" customWidth="1"/>
    <col min="8728" max="8728" width="11.85546875" style="99" customWidth="1"/>
    <col min="8729" max="8729" width="7.140625" style="99" bestFit="1" customWidth="1"/>
    <col min="8730" max="8730" width="1.42578125" style="99" customWidth="1"/>
    <col min="8731" max="8731" width="13" style="99" customWidth="1"/>
    <col min="8732" max="8732" width="8.28515625" style="99" bestFit="1" customWidth="1"/>
    <col min="8733" max="8733" width="1.140625" style="99" customWidth="1"/>
    <col min="8734" max="8734" width="15.7109375" style="99" customWidth="1"/>
    <col min="8735" max="8735" width="1.140625" style="99" customWidth="1"/>
    <col min="8736" max="8736" width="9.140625" style="99"/>
    <col min="8737" max="8738" width="19.42578125" style="99" customWidth="1"/>
    <col min="8739" max="8739" width="9.140625" style="99"/>
    <col min="8740" max="8740" width="12.7109375" style="99" bestFit="1" customWidth="1"/>
    <col min="8741" max="8741" width="9.140625" style="99"/>
    <col min="8742" max="8742" width="11.7109375" style="99" bestFit="1" customWidth="1"/>
    <col min="8743" max="8743" width="10.7109375" style="99" bestFit="1" customWidth="1"/>
    <col min="8744" max="8952" width="9.140625" style="99"/>
    <col min="8953" max="8953" width="1.5703125" style="99" customWidth="1"/>
    <col min="8954" max="8954" width="1.85546875" style="99" customWidth="1"/>
    <col min="8955" max="8955" width="24.28515625" style="99" customWidth="1"/>
    <col min="8956" max="8974" width="0" style="99" hidden="1" customWidth="1"/>
    <col min="8975" max="8975" width="14.5703125" style="99" customWidth="1"/>
    <col min="8976" max="8976" width="1.140625" style="99" customWidth="1"/>
    <col min="8977" max="8979" width="0" style="99" hidden="1" customWidth="1"/>
    <col min="8980" max="8980" width="13.28515625" style="99" customWidth="1"/>
    <col min="8981" max="8981" width="8.28515625" style="99" bestFit="1" customWidth="1"/>
    <col min="8982" max="8982" width="1.28515625" style="99" customWidth="1"/>
    <col min="8983" max="8983" width="0" style="99" hidden="1" customWidth="1"/>
    <col min="8984" max="8984" width="11.85546875" style="99" customWidth="1"/>
    <col min="8985" max="8985" width="7.140625" style="99" bestFit="1" customWidth="1"/>
    <col min="8986" max="8986" width="1.42578125" style="99" customWidth="1"/>
    <col min="8987" max="8987" width="13" style="99" customWidth="1"/>
    <col min="8988" max="8988" width="8.28515625" style="99" bestFit="1" customWidth="1"/>
    <col min="8989" max="8989" width="1.140625" style="99" customWidth="1"/>
    <col min="8990" max="8990" width="15.7109375" style="99" customWidth="1"/>
    <col min="8991" max="8991" width="1.140625" style="99" customWidth="1"/>
    <col min="8992" max="8992" width="9.140625" style="99"/>
    <col min="8993" max="8994" width="19.42578125" style="99" customWidth="1"/>
    <col min="8995" max="8995" width="9.140625" style="99"/>
    <col min="8996" max="8996" width="12.7109375" style="99" bestFit="1" customWidth="1"/>
    <col min="8997" max="8997" width="9.140625" style="99"/>
    <col min="8998" max="8998" width="11.7109375" style="99" bestFit="1" customWidth="1"/>
    <col min="8999" max="8999" width="10.7109375" style="99" bestFit="1" customWidth="1"/>
    <col min="9000" max="9208" width="9.140625" style="99"/>
    <col min="9209" max="9209" width="1.5703125" style="99" customWidth="1"/>
    <col min="9210" max="9210" width="1.85546875" style="99" customWidth="1"/>
    <col min="9211" max="9211" width="24.28515625" style="99" customWidth="1"/>
    <col min="9212" max="9230" width="0" style="99" hidden="1" customWidth="1"/>
    <col min="9231" max="9231" width="14.5703125" style="99" customWidth="1"/>
    <col min="9232" max="9232" width="1.140625" style="99" customWidth="1"/>
    <col min="9233" max="9235" width="0" style="99" hidden="1" customWidth="1"/>
    <col min="9236" max="9236" width="13.28515625" style="99" customWidth="1"/>
    <col min="9237" max="9237" width="8.28515625" style="99" bestFit="1" customWidth="1"/>
    <col min="9238" max="9238" width="1.28515625" style="99" customWidth="1"/>
    <col min="9239" max="9239" width="0" style="99" hidden="1" customWidth="1"/>
    <col min="9240" max="9240" width="11.85546875" style="99" customWidth="1"/>
    <col min="9241" max="9241" width="7.140625" style="99" bestFit="1" customWidth="1"/>
    <col min="9242" max="9242" width="1.42578125" style="99" customWidth="1"/>
    <col min="9243" max="9243" width="13" style="99" customWidth="1"/>
    <col min="9244" max="9244" width="8.28515625" style="99" bestFit="1" customWidth="1"/>
    <col min="9245" max="9245" width="1.140625" style="99" customWidth="1"/>
    <col min="9246" max="9246" width="15.7109375" style="99" customWidth="1"/>
    <col min="9247" max="9247" width="1.140625" style="99" customWidth="1"/>
    <col min="9248" max="9248" width="9.140625" style="99"/>
    <col min="9249" max="9250" width="19.42578125" style="99" customWidth="1"/>
    <col min="9251" max="9251" width="9.140625" style="99"/>
    <col min="9252" max="9252" width="12.7109375" style="99" bestFit="1" customWidth="1"/>
    <col min="9253" max="9253" width="9.140625" style="99"/>
    <col min="9254" max="9254" width="11.7109375" style="99" bestFit="1" customWidth="1"/>
    <col min="9255" max="9255" width="10.7109375" style="99" bestFit="1" customWidth="1"/>
    <col min="9256" max="9464" width="9.140625" style="99"/>
    <col min="9465" max="9465" width="1.5703125" style="99" customWidth="1"/>
    <col min="9466" max="9466" width="1.85546875" style="99" customWidth="1"/>
    <col min="9467" max="9467" width="24.28515625" style="99" customWidth="1"/>
    <col min="9468" max="9486" width="0" style="99" hidden="1" customWidth="1"/>
    <col min="9487" max="9487" width="14.5703125" style="99" customWidth="1"/>
    <col min="9488" max="9488" width="1.140625" style="99" customWidth="1"/>
    <col min="9489" max="9491" width="0" style="99" hidden="1" customWidth="1"/>
    <col min="9492" max="9492" width="13.28515625" style="99" customWidth="1"/>
    <col min="9493" max="9493" width="8.28515625" style="99" bestFit="1" customWidth="1"/>
    <col min="9494" max="9494" width="1.28515625" style="99" customWidth="1"/>
    <col min="9495" max="9495" width="0" style="99" hidden="1" customWidth="1"/>
    <col min="9496" max="9496" width="11.85546875" style="99" customWidth="1"/>
    <col min="9497" max="9497" width="7.140625" style="99" bestFit="1" customWidth="1"/>
    <col min="9498" max="9498" width="1.42578125" style="99" customWidth="1"/>
    <col min="9499" max="9499" width="13" style="99" customWidth="1"/>
    <col min="9500" max="9500" width="8.28515625" style="99" bestFit="1" customWidth="1"/>
    <col min="9501" max="9501" width="1.140625" style="99" customWidth="1"/>
    <col min="9502" max="9502" width="15.7109375" style="99" customWidth="1"/>
    <col min="9503" max="9503" width="1.140625" style="99" customWidth="1"/>
    <col min="9504" max="9504" width="9.140625" style="99"/>
    <col min="9505" max="9506" width="19.42578125" style="99" customWidth="1"/>
    <col min="9507" max="9507" width="9.140625" style="99"/>
    <col min="9508" max="9508" width="12.7109375" style="99" bestFit="1" customWidth="1"/>
    <col min="9509" max="9509" width="9.140625" style="99"/>
    <col min="9510" max="9510" width="11.7109375" style="99" bestFit="1" customWidth="1"/>
    <col min="9511" max="9511" width="10.7109375" style="99" bestFit="1" customWidth="1"/>
    <col min="9512" max="9720" width="9.140625" style="99"/>
    <col min="9721" max="9721" width="1.5703125" style="99" customWidth="1"/>
    <col min="9722" max="9722" width="1.85546875" style="99" customWidth="1"/>
    <col min="9723" max="9723" width="24.28515625" style="99" customWidth="1"/>
    <col min="9724" max="9742" width="0" style="99" hidden="1" customWidth="1"/>
    <col min="9743" max="9743" width="14.5703125" style="99" customWidth="1"/>
    <col min="9744" max="9744" width="1.140625" style="99" customWidth="1"/>
    <col min="9745" max="9747" width="0" style="99" hidden="1" customWidth="1"/>
    <col min="9748" max="9748" width="13.28515625" style="99" customWidth="1"/>
    <col min="9749" max="9749" width="8.28515625" style="99" bestFit="1" customWidth="1"/>
    <col min="9750" max="9750" width="1.28515625" style="99" customWidth="1"/>
    <col min="9751" max="9751" width="0" style="99" hidden="1" customWidth="1"/>
    <col min="9752" max="9752" width="11.85546875" style="99" customWidth="1"/>
    <col min="9753" max="9753" width="7.140625" style="99" bestFit="1" customWidth="1"/>
    <col min="9754" max="9754" width="1.42578125" style="99" customWidth="1"/>
    <col min="9755" max="9755" width="13" style="99" customWidth="1"/>
    <col min="9756" max="9756" width="8.28515625" style="99" bestFit="1" customWidth="1"/>
    <col min="9757" max="9757" width="1.140625" style="99" customWidth="1"/>
    <col min="9758" max="9758" width="15.7109375" style="99" customWidth="1"/>
    <col min="9759" max="9759" width="1.140625" style="99" customWidth="1"/>
    <col min="9760" max="9760" width="9.140625" style="99"/>
    <col min="9761" max="9762" width="19.42578125" style="99" customWidth="1"/>
    <col min="9763" max="9763" width="9.140625" style="99"/>
    <col min="9764" max="9764" width="12.7109375" style="99" bestFit="1" customWidth="1"/>
    <col min="9765" max="9765" width="9.140625" style="99"/>
    <col min="9766" max="9766" width="11.7109375" style="99" bestFit="1" customWidth="1"/>
    <col min="9767" max="9767" width="10.7109375" style="99" bestFit="1" customWidth="1"/>
    <col min="9768" max="9976" width="9.140625" style="99"/>
    <col min="9977" max="9977" width="1.5703125" style="99" customWidth="1"/>
    <col min="9978" max="9978" width="1.85546875" style="99" customWidth="1"/>
    <col min="9979" max="9979" width="24.28515625" style="99" customWidth="1"/>
    <col min="9980" max="9998" width="0" style="99" hidden="1" customWidth="1"/>
    <col min="9999" max="9999" width="14.5703125" style="99" customWidth="1"/>
    <col min="10000" max="10000" width="1.140625" style="99" customWidth="1"/>
    <col min="10001" max="10003" width="0" style="99" hidden="1" customWidth="1"/>
    <col min="10004" max="10004" width="13.28515625" style="99" customWidth="1"/>
    <col min="10005" max="10005" width="8.28515625" style="99" bestFit="1" customWidth="1"/>
    <col min="10006" max="10006" width="1.28515625" style="99" customWidth="1"/>
    <col min="10007" max="10007" width="0" style="99" hidden="1" customWidth="1"/>
    <col min="10008" max="10008" width="11.85546875" style="99" customWidth="1"/>
    <col min="10009" max="10009" width="7.140625" style="99" bestFit="1" customWidth="1"/>
    <col min="10010" max="10010" width="1.42578125" style="99" customWidth="1"/>
    <col min="10011" max="10011" width="13" style="99" customWidth="1"/>
    <col min="10012" max="10012" width="8.28515625" style="99" bestFit="1" customWidth="1"/>
    <col min="10013" max="10013" width="1.140625" style="99" customWidth="1"/>
    <col min="10014" max="10014" width="15.7109375" style="99" customWidth="1"/>
    <col min="10015" max="10015" width="1.140625" style="99" customWidth="1"/>
    <col min="10016" max="10016" width="9.140625" style="99"/>
    <col min="10017" max="10018" width="19.42578125" style="99" customWidth="1"/>
    <col min="10019" max="10019" width="9.140625" style="99"/>
    <col min="10020" max="10020" width="12.7109375" style="99" bestFit="1" customWidth="1"/>
    <col min="10021" max="10021" width="9.140625" style="99"/>
    <col min="10022" max="10022" width="11.7109375" style="99" bestFit="1" customWidth="1"/>
    <col min="10023" max="10023" width="10.7109375" style="99" bestFit="1" customWidth="1"/>
    <col min="10024" max="10232" width="9.140625" style="99"/>
    <col min="10233" max="10233" width="1.5703125" style="99" customWidth="1"/>
    <col min="10234" max="10234" width="1.85546875" style="99" customWidth="1"/>
    <col min="10235" max="10235" width="24.28515625" style="99" customWidth="1"/>
    <col min="10236" max="10254" width="0" style="99" hidden="1" customWidth="1"/>
    <col min="10255" max="10255" width="14.5703125" style="99" customWidth="1"/>
    <col min="10256" max="10256" width="1.140625" style="99" customWidth="1"/>
    <col min="10257" max="10259" width="0" style="99" hidden="1" customWidth="1"/>
    <col min="10260" max="10260" width="13.28515625" style="99" customWidth="1"/>
    <col min="10261" max="10261" width="8.28515625" style="99" bestFit="1" customWidth="1"/>
    <col min="10262" max="10262" width="1.28515625" style="99" customWidth="1"/>
    <col min="10263" max="10263" width="0" style="99" hidden="1" customWidth="1"/>
    <col min="10264" max="10264" width="11.85546875" style="99" customWidth="1"/>
    <col min="10265" max="10265" width="7.140625" style="99" bestFit="1" customWidth="1"/>
    <col min="10266" max="10266" width="1.42578125" style="99" customWidth="1"/>
    <col min="10267" max="10267" width="13" style="99" customWidth="1"/>
    <col min="10268" max="10268" width="8.28515625" style="99" bestFit="1" customWidth="1"/>
    <col min="10269" max="10269" width="1.140625" style="99" customWidth="1"/>
    <col min="10270" max="10270" width="15.7109375" style="99" customWidth="1"/>
    <col min="10271" max="10271" width="1.140625" style="99" customWidth="1"/>
    <col min="10272" max="10272" width="9.140625" style="99"/>
    <col min="10273" max="10274" width="19.42578125" style="99" customWidth="1"/>
    <col min="10275" max="10275" width="9.140625" style="99"/>
    <col min="10276" max="10276" width="12.7109375" style="99" bestFit="1" customWidth="1"/>
    <col min="10277" max="10277" width="9.140625" style="99"/>
    <col min="10278" max="10278" width="11.7109375" style="99" bestFit="1" customWidth="1"/>
    <col min="10279" max="10279" width="10.7109375" style="99" bestFit="1" customWidth="1"/>
    <col min="10280" max="10488" width="9.140625" style="99"/>
    <col min="10489" max="10489" width="1.5703125" style="99" customWidth="1"/>
    <col min="10490" max="10490" width="1.85546875" style="99" customWidth="1"/>
    <col min="10491" max="10491" width="24.28515625" style="99" customWidth="1"/>
    <col min="10492" max="10510" width="0" style="99" hidden="1" customWidth="1"/>
    <col min="10511" max="10511" width="14.5703125" style="99" customWidth="1"/>
    <col min="10512" max="10512" width="1.140625" style="99" customWidth="1"/>
    <col min="10513" max="10515" width="0" style="99" hidden="1" customWidth="1"/>
    <col min="10516" max="10516" width="13.28515625" style="99" customWidth="1"/>
    <col min="10517" max="10517" width="8.28515625" style="99" bestFit="1" customWidth="1"/>
    <col min="10518" max="10518" width="1.28515625" style="99" customWidth="1"/>
    <col min="10519" max="10519" width="0" style="99" hidden="1" customWidth="1"/>
    <col min="10520" max="10520" width="11.85546875" style="99" customWidth="1"/>
    <col min="10521" max="10521" width="7.140625" style="99" bestFit="1" customWidth="1"/>
    <col min="10522" max="10522" width="1.42578125" style="99" customWidth="1"/>
    <col min="10523" max="10523" width="13" style="99" customWidth="1"/>
    <col min="10524" max="10524" width="8.28515625" style="99" bestFit="1" customWidth="1"/>
    <col min="10525" max="10525" width="1.140625" style="99" customWidth="1"/>
    <col min="10526" max="10526" width="15.7109375" style="99" customWidth="1"/>
    <col min="10527" max="10527" width="1.140625" style="99" customWidth="1"/>
    <col min="10528" max="10528" width="9.140625" style="99"/>
    <col min="10529" max="10530" width="19.42578125" style="99" customWidth="1"/>
    <col min="10531" max="10531" width="9.140625" style="99"/>
    <col min="10532" max="10532" width="12.7109375" style="99" bestFit="1" customWidth="1"/>
    <col min="10533" max="10533" width="9.140625" style="99"/>
    <col min="10534" max="10534" width="11.7109375" style="99" bestFit="1" customWidth="1"/>
    <col min="10535" max="10535" width="10.7109375" style="99" bestFit="1" customWidth="1"/>
    <col min="10536" max="10744" width="9.140625" style="99"/>
    <col min="10745" max="10745" width="1.5703125" style="99" customWidth="1"/>
    <col min="10746" max="10746" width="1.85546875" style="99" customWidth="1"/>
    <col min="10747" max="10747" width="24.28515625" style="99" customWidth="1"/>
    <col min="10748" max="10766" width="0" style="99" hidden="1" customWidth="1"/>
    <col min="10767" max="10767" width="14.5703125" style="99" customWidth="1"/>
    <col min="10768" max="10768" width="1.140625" style="99" customWidth="1"/>
    <col min="10769" max="10771" width="0" style="99" hidden="1" customWidth="1"/>
    <col min="10772" max="10772" width="13.28515625" style="99" customWidth="1"/>
    <col min="10773" max="10773" width="8.28515625" style="99" bestFit="1" customWidth="1"/>
    <col min="10774" max="10774" width="1.28515625" style="99" customWidth="1"/>
    <col min="10775" max="10775" width="0" style="99" hidden="1" customWidth="1"/>
    <col min="10776" max="10776" width="11.85546875" style="99" customWidth="1"/>
    <col min="10777" max="10777" width="7.140625" style="99" bestFit="1" customWidth="1"/>
    <col min="10778" max="10778" width="1.42578125" style="99" customWidth="1"/>
    <col min="10779" max="10779" width="13" style="99" customWidth="1"/>
    <col min="10780" max="10780" width="8.28515625" style="99" bestFit="1" customWidth="1"/>
    <col min="10781" max="10781" width="1.140625" style="99" customWidth="1"/>
    <col min="10782" max="10782" width="15.7109375" style="99" customWidth="1"/>
    <col min="10783" max="10783" width="1.140625" style="99" customWidth="1"/>
    <col min="10784" max="10784" width="9.140625" style="99"/>
    <col min="10785" max="10786" width="19.42578125" style="99" customWidth="1"/>
    <col min="10787" max="10787" width="9.140625" style="99"/>
    <col min="10788" max="10788" width="12.7109375" style="99" bestFit="1" customWidth="1"/>
    <col min="10789" max="10789" width="9.140625" style="99"/>
    <col min="10790" max="10790" width="11.7109375" style="99" bestFit="1" customWidth="1"/>
    <col min="10791" max="10791" width="10.7109375" style="99" bestFit="1" customWidth="1"/>
    <col min="10792" max="11000" width="9.140625" style="99"/>
    <col min="11001" max="11001" width="1.5703125" style="99" customWidth="1"/>
    <col min="11002" max="11002" width="1.85546875" style="99" customWidth="1"/>
    <col min="11003" max="11003" width="24.28515625" style="99" customWidth="1"/>
    <col min="11004" max="11022" width="0" style="99" hidden="1" customWidth="1"/>
    <col min="11023" max="11023" width="14.5703125" style="99" customWidth="1"/>
    <col min="11024" max="11024" width="1.140625" style="99" customWidth="1"/>
    <col min="11025" max="11027" width="0" style="99" hidden="1" customWidth="1"/>
    <col min="11028" max="11028" width="13.28515625" style="99" customWidth="1"/>
    <col min="11029" max="11029" width="8.28515625" style="99" bestFit="1" customWidth="1"/>
    <col min="11030" max="11030" width="1.28515625" style="99" customWidth="1"/>
    <col min="11031" max="11031" width="0" style="99" hidden="1" customWidth="1"/>
    <col min="11032" max="11032" width="11.85546875" style="99" customWidth="1"/>
    <col min="11033" max="11033" width="7.140625" style="99" bestFit="1" customWidth="1"/>
    <col min="11034" max="11034" width="1.42578125" style="99" customWidth="1"/>
    <col min="11035" max="11035" width="13" style="99" customWidth="1"/>
    <col min="11036" max="11036" width="8.28515625" style="99" bestFit="1" customWidth="1"/>
    <col min="11037" max="11037" width="1.140625" style="99" customWidth="1"/>
    <col min="11038" max="11038" width="15.7109375" style="99" customWidth="1"/>
    <col min="11039" max="11039" width="1.140625" style="99" customWidth="1"/>
    <col min="11040" max="11040" width="9.140625" style="99"/>
    <col min="11041" max="11042" width="19.42578125" style="99" customWidth="1"/>
    <col min="11043" max="11043" width="9.140625" style="99"/>
    <col min="11044" max="11044" width="12.7109375" style="99" bestFit="1" customWidth="1"/>
    <col min="11045" max="11045" width="9.140625" style="99"/>
    <col min="11046" max="11046" width="11.7109375" style="99" bestFit="1" customWidth="1"/>
    <col min="11047" max="11047" width="10.7109375" style="99" bestFit="1" customWidth="1"/>
    <col min="11048" max="11256" width="9.140625" style="99"/>
    <col min="11257" max="11257" width="1.5703125" style="99" customWidth="1"/>
    <col min="11258" max="11258" width="1.85546875" style="99" customWidth="1"/>
    <col min="11259" max="11259" width="24.28515625" style="99" customWidth="1"/>
    <col min="11260" max="11278" width="0" style="99" hidden="1" customWidth="1"/>
    <col min="11279" max="11279" width="14.5703125" style="99" customWidth="1"/>
    <col min="11280" max="11280" width="1.140625" style="99" customWidth="1"/>
    <col min="11281" max="11283" width="0" style="99" hidden="1" customWidth="1"/>
    <col min="11284" max="11284" width="13.28515625" style="99" customWidth="1"/>
    <col min="11285" max="11285" width="8.28515625" style="99" bestFit="1" customWidth="1"/>
    <col min="11286" max="11286" width="1.28515625" style="99" customWidth="1"/>
    <col min="11287" max="11287" width="0" style="99" hidden="1" customWidth="1"/>
    <col min="11288" max="11288" width="11.85546875" style="99" customWidth="1"/>
    <col min="11289" max="11289" width="7.140625" style="99" bestFit="1" customWidth="1"/>
    <col min="11290" max="11290" width="1.42578125" style="99" customWidth="1"/>
    <col min="11291" max="11291" width="13" style="99" customWidth="1"/>
    <col min="11292" max="11292" width="8.28515625" style="99" bestFit="1" customWidth="1"/>
    <col min="11293" max="11293" width="1.140625" style="99" customWidth="1"/>
    <col min="11294" max="11294" width="15.7109375" style="99" customWidth="1"/>
    <col min="11295" max="11295" width="1.140625" style="99" customWidth="1"/>
    <col min="11296" max="11296" width="9.140625" style="99"/>
    <col min="11297" max="11298" width="19.42578125" style="99" customWidth="1"/>
    <col min="11299" max="11299" width="9.140625" style="99"/>
    <col min="11300" max="11300" width="12.7109375" style="99" bestFit="1" customWidth="1"/>
    <col min="11301" max="11301" width="9.140625" style="99"/>
    <col min="11302" max="11302" width="11.7109375" style="99" bestFit="1" customWidth="1"/>
    <col min="11303" max="11303" width="10.7109375" style="99" bestFit="1" customWidth="1"/>
    <col min="11304" max="11512" width="9.140625" style="99"/>
    <col min="11513" max="11513" width="1.5703125" style="99" customWidth="1"/>
    <col min="11514" max="11514" width="1.85546875" style="99" customWidth="1"/>
    <col min="11515" max="11515" width="24.28515625" style="99" customWidth="1"/>
    <col min="11516" max="11534" width="0" style="99" hidden="1" customWidth="1"/>
    <col min="11535" max="11535" width="14.5703125" style="99" customWidth="1"/>
    <col min="11536" max="11536" width="1.140625" style="99" customWidth="1"/>
    <col min="11537" max="11539" width="0" style="99" hidden="1" customWidth="1"/>
    <col min="11540" max="11540" width="13.28515625" style="99" customWidth="1"/>
    <col min="11541" max="11541" width="8.28515625" style="99" bestFit="1" customWidth="1"/>
    <col min="11542" max="11542" width="1.28515625" style="99" customWidth="1"/>
    <col min="11543" max="11543" width="0" style="99" hidden="1" customWidth="1"/>
    <col min="11544" max="11544" width="11.85546875" style="99" customWidth="1"/>
    <col min="11545" max="11545" width="7.140625" style="99" bestFit="1" customWidth="1"/>
    <col min="11546" max="11546" width="1.42578125" style="99" customWidth="1"/>
    <col min="11547" max="11547" width="13" style="99" customWidth="1"/>
    <col min="11548" max="11548" width="8.28515625" style="99" bestFit="1" customWidth="1"/>
    <col min="11549" max="11549" width="1.140625" style="99" customWidth="1"/>
    <col min="11550" max="11550" width="15.7109375" style="99" customWidth="1"/>
    <col min="11551" max="11551" width="1.140625" style="99" customWidth="1"/>
    <col min="11552" max="11552" width="9.140625" style="99"/>
    <col min="11553" max="11554" width="19.42578125" style="99" customWidth="1"/>
    <col min="11555" max="11555" width="9.140625" style="99"/>
    <col min="11556" max="11556" width="12.7109375" style="99" bestFit="1" customWidth="1"/>
    <col min="11557" max="11557" width="9.140625" style="99"/>
    <col min="11558" max="11558" width="11.7109375" style="99" bestFit="1" customWidth="1"/>
    <col min="11559" max="11559" width="10.7109375" style="99" bestFit="1" customWidth="1"/>
    <col min="11560" max="11768" width="9.140625" style="99"/>
    <col min="11769" max="11769" width="1.5703125" style="99" customWidth="1"/>
    <col min="11770" max="11770" width="1.85546875" style="99" customWidth="1"/>
    <col min="11771" max="11771" width="24.28515625" style="99" customWidth="1"/>
    <col min="11772" max="11790" width="0" style="99" hidden="1" customWidth="1"/>
    <col min="11791" max="11791" width="14.5703125" style="99" customWidth="1"/>
    <col min="11792" max="11792" width="1.140625" style="99" customWidth="1"/>
    <col min="11793" max="11795" width="0" style="99" hidden="1" customWidth="1"/>
    <col min="11796" max="11796" width="13.28515625" style="99" customWidth="1"/>
    <col min="11797" max="11797" width="8.28515625" style="99" bestFit="1" customWidth="1"/>
    <col min="11798" max="11798" width="1.28515625" style="99" customWidth="1"/>
    <col min="11799" max="11799" width="0" style="99" hidden="1" customWidth="1"/>
    <col min="11800" max="11800" width="11.85546875" style="99" customWidth="1"/>
    <col min="11801" max="11801" width="7.140625" style="99" bestFit="1" customWidth="1"/>
    <col min="11802" max="11802" width="1.42578125" style="99" customWidth="1"/>
    <col min="11803" max="11803" width="13" style="99" customWidth="1"/>
    <col min="11804" max="11804" width="8.28515625" style="99" bestFit="1" customWidth="1"/>
    <col min="11805" max="11805" width="1.140625" style="99" customWidth="1"/>
    <col min="11806" max="11806" width="15.7109375" style="99" customWidth="1"/>
    <col min="11807" max="11807" width="1.140625" style="99" customWidth="1"/>
    <col min="11808" max="11808" width="9.140625" style="99"/>
    <col min="11809" max="11810" width="19.42578125" style="99" customWidth="1"/>
    <col min="11811" max="11811" width="9.140625" style="99"/>
    <col min="11812" max="11812" width="12.7109375" style="99" bestFit="1" customWidth="1"/>
    <col min="11813" max="11813" width="9.140625" style="99"/>
    <col min="11814" max="11814" width="11.7109375" style="99" bestFit="1" customWidth="1"/>
    <col min="11815" max="11815" width="10.7109375" style="99" bestFit="1" customWidth="1"/>
    <col min="11816" max="12024" width="9.140625" style="99"/>
    <col min="12025" max="12025" width="1.5703125" style="99" customWidth="1"/>
    <col min="12026" max="12026" width="1.85546875" style="99" customWidth="1"/>
    <col min="12027" max="12027" width="24.28515625" style="99" customWidth="1"/>
    <col min="12028" max="12046" width="0" style="99" hidden="1" customWidth="1"/>
    <col min="12047" max="12047" width="14.5703125" style="99" customWidth="1"/>
    <col min="12048" max="12048" width="1.140625" style="99" customWidth="1"/>
    <col min="12049" max="12051" width="0" style="99" hidden="1" customWidth="1"/>
    <col min="12052" max="12052" width="13.28515625" style="99" customWidth="1"/>
    <col min="12053" max="12053" width="8.28515625" style="99" bestFit="1" customWidth="1"/>
    <col min="12054" max="12054" width="1.28515625" style="99" customWidth="1"/>
    <col min="12055" max="12055" width="0" style="99" hidden="1" customWidth="1"/>
    <col min="12056" max="12056" width="11.85546875" style="99" customWidth="1"/>
    <col min="12057" max="12057" width="7.140625" style="99" bestFit="1" customWidth="1"/>
    <col min="12058" max="12058" width="1.42578125" style="99" customWidth="1"/>
    <col min="12059" max="12059" width="13" style="99" customWidth="1"/>
    <col min="12060" max="12060" width="8.28515625" style="99" bestFit="1" customWidth="1"/>
    <col min="12061" max="12061" width="1.140625" style="99" customWidth="1"/>
    <col min="12062" max="12062" width="15.7109375" style="99" customWidth="1"/>
    <col min="12063" max="12063" width="1.140625" style="99" customWidth="1"/>
    <col min="12064" max="12064" width="9.140625" style="99"/>
    <col min="12065" max="12066" width="19.42578125" style="99" customWidth="1"/>
    <col min="12067" max="12067" width="9.140625" style="99"/>
    <col min="12068" max="12068" width="12.7109375" style="99" bestFit="1" customWidth="1"/>
    <col min="12069" max="12069" width="9.140625" style="99"/>
    <col min="12070" max="12070" width="11.7109375" style="99" bestFit="1" customWidth="1"/>
    <col min="12071" max="12071" width="10.7109375" style="99" bestFit="1" customWidth="1"/>
    <col min="12072" max="12280" width="9.140625" style="99"/>
    <col min="12281" max="12281" width="1.5703125" style="99" customWidth="1"/>
    <col min="12282" max="12282" width="1.85546875" style="99" customWidth="1"/>
    <col min="12283" max="12283" width="24.28515625" style="99" customWidth="1"/>
    <col min="12284" max="12302" width="0" style="99" hidden="1" customWidth="1"/>
    <col min="12303" max="12303" width="14.5703125" style="99" customWidth="1"/>
    <col min="12304" max="12304" width="1.140625" style="99" customWidth="1"/>
    <col min="12305" max="12307" width="0" style="99" hidden="1" customWidth="1"/>
    <col min="12308" max="12308" width="13.28515625" style="99" customWidth="1"/>
    <col min="12309" max="12309" width="8.28515625" style="99" bestFit="1" customWidth="1"/>
    <col min="12310" max="12310" width="1.28515625" style="99" customWidth="1"/>
    <col min="12311" max="12311" width="0" style="99" hidden="1" customWidth="1"/>
    <col min="12312" max="12312" width="11.85546875" style="99" customWidth="1"/>
    <col min="12313" max="12313" width="7.140625" style="99" bestFit="1" customWidth="1"/>
    <col min="12314" max="12314" width="1.42578125" style="99" customWidth="1"/>
    <col min="12315" max="12315" width="13" style="99" customWidth="1"/>
    <col min="12316" max="12316" width="8.28515625" style="99" bestFit="1" customWidth="1"/>
    <col min="12317" max="12317" width="1.140625" style="99" customWidth="1"/>
    <col min="12318" max="12318" width="15.7109375" style="99" customWidth="1"/>
    <col min="12319" max="12319" width="1.140625" style="99" customWidth="1"/>
    <col min="12320" max="12320" width="9.140625" style="99"/>
    <col min="12321" max="12322" width="19.42578125" style="99" customWidth="1"/>
    <col min="12323" max="12323" width="9.140625" style="99"/>
    <col min="12324" max="12324" width="12.7109375" style="99" bestFit="1" customWidth="1"/>
    <col min="12325" max="12325" width="9.140625" style="99"/>
    <col min="12326" max="12326" width="11.7109375" style="99" bestFit="1" customWidth="1"/>
    <col min="12327" max="12327" width="10.7109375" style="99" bestFit="1" customWidth="1"/>
    <col min="12328" max="12536" width="9.140625" style="99"/>
    <col min="12537" max="12537" width="1.5703125" style="99" customWidth="1"/>
    <col min="12538" max="12538" width="1.85546875" style="99" customWidth="1"/>
    <col min="12539" max="12539" width="24.28515625" style="99" customWidth="1"/>
    <col min="12540" max="12558" width="0" style="99" hidden="1" customWidth="1"/>
    <col min="12559" max="12559" width="14.5703125" style="99" customWidth="1"/>
    <col min="12560" max="12560" width="1.140625" style="99" customWidth="1"/>
    <col min="12561" max="12563" width="0" style="99" hidden="1" customWidth="1"/>
    <col min="12564" max="12564" width="13.28515625" style="99" customWidth="1"/>
    <col min="12565" max="12565" width="8.28515625" style="99" bestFit="1" customWidth="1"/>
    <col min="12566" max="12566" width="1.28515625" style="99" customWidth="1"/>
    <col min="12567" max="12567" width="0" style="99" hidden="1" customWidth="1"/>
    <col min="12568" max="12568" width="11.85546875" style="99" customWidth="1"/>
    <col min="12569" max="12569" width="7.140625" style="99" bestFit="1" customWidth="1"/>
    <col min="12570" max="12570" width="1.42578125" style="99" customWidth="1"/>
    <col min="12571" max="12571" width="13" style="99" customWidth="1"/>
    <col min="12572" max="12572" width="8.28515625" style="99" bestFit="1" customWidth="1"/>
    <col min="12573" max="12573" width="1.140625" style="99" customWidth="1"/>
    <col min="12574" max="12574" width="15.7109375" style="99" customWidth="1"/>
    <col min="12575" max="12575" width="1.140625" style="99" customWidth="1"/>
    <col min="12576" max="12576" width="9.140625" style="99"/>
    <col min="12577" max="12578" width="19.42578125" style="99" customWidth="1"/>
    <col min="12579" max="12579" width="9.140625" style="99"/>
    <col min="12580" max="12580" width="12.7109375" style="99" bestFit="1" customWidth="1"/>
    <col min="12581" max="12581" width="9.140625" style="99"/>
    <col min="12582" max="12582" width="11.7109375" style="99" bestFit="1" customWidth="1"/>
    <col min="12583" max="12583" width="10.7109375" style="99" bestFit="1" customWidth="1"/>
    <col min="12584" max="12792" width="9.140625" style="99"/>
    <col min="12793" max="12793" width="1.5703125" style="99" customWidth="1"/>
    <col min="12794" max="12794" width="1.85546875" style="99" customWidth="1"/>
    <col min="12795" max="12795" width="24.28515625" style="99" customWidth="1"/>
    <col min="12796" max="12814" width="0" style="99" hidden="1" customWidth="1"/>
    <col min="12815" max="12815" width="14.5703125" style="99" customWidth="1"/>
    <col min="12816" max="12816" width="1.140625" style="99" customWidth="1"/>
    <col min="12817" max="12819" width="0" style="99" hidden="1" customWidth="1"/>
    <col min="12820" max="12820" width="13.28515625" style="99" customWidth="1"/>
    <col min="12821" max="12821" width="8.28515625" style="99" bestFit="1" customWidth="1"/>
    <col min="12822" max="12822" width="1.28515625" style="99" customWidth="1"/>
    <col min="12823" max="12823" width="0" style="99" hidden="1" customWidth="1"/>
    <col min="12824" max="12824" width="11.85546875" style="99" customWidth="1"/>
    <col min="12825" max="12825" width="7.140625" style="99" bestFit="1" customWidth="1"/>
    <col min="12826" max="12826" width="1.42578125" style="99" customWidth="1"/>
    <col min="12827" max="12827" width="13" style="99" customWidth="1"/>
    <col min="12828" max="12828" width="8.28515625" style="99" bestFit="1" customWidth="1"/>
    <col min="12829" max="12829" width="1.140625" style="99" customWidth="1"/>
    <col min="12830" max="12830" width="15.7109375" style="99" customWidth="1"/>
    <col min="12831" max="12831" width="1.140625" style="99" customWidth="1"/>
    <col min="12832" max="12832" width="9.140625" style="99"/>
    <col min="12833" max="12834" width="19.42578125" style="99" customWidth="1"/>
    <col min="12835" max="12835" width="9.140625" style="99"/>
    <col min="12836" max="12836" width="12.7109375" style="99" bestFit="1" customWidth="1"/>
    <col min="12837" max="12837" width="9.140625" style="99"/>
    <col min="12838" max="12838" width="11.7109375" style="99" bestFit="1" customWidth="1"/>
    <col min="12839" max="12839" width="10.7109375" style="99" bestFit="1" customWidth="1"/>
    <col min="12840" max="13048" width="9.140625" style="99"/>
    <col min="13049" max="13049" width="1.5703125" style="99" customWidth="1"/>
    <col min="13050" max="13050" width="1.85546875" style="99" customWidth="1"/>
    <col min="13051" max="13051" width="24.28515625" style="99" customWidth="1"/>
    <col min="13052" max="13070" width="0" style="99" hidden="1" customWidth="1"/>
    <col min="13071" max="13071" width="14.5703125" style="99" customWidth="1"/>
    <col min="13072" max="13072" width="1.140625" style="99" customWidth="1"/>
    <col min="13073" max="13075" width="0" style="99" hidden="1" customWidth="1"/>
    <col min="13076" max="13076" width="13.28515625" style="99" customWidth="1"/>
    <col min="13077" max="13077" width="8.28515625" style="99" bestFit="1" customWidth="1"/>
    <col min="13078" max="13078" width="1.28515625" style="99" customWidth="1"/>
    <col min="13079" max="13079" width="0" style="99" hidden="1" customWidth="1"/>
    <col min="13080" max="13080" width="11.85546875" style="99" customWidth="1"/>
    <col min="13081" max="13081" width="7.140625" style="99" bestFit="1" customWidth="1"/>
    <col min="13082" max="13082" width="1.42578125" style="99" customWidth="1"/>
    <col min="13083" max="13083" width="13" style="99" customWidth="1"/>
    <col min="13084" max="13084" width="8.28515625" style="99" bestFit="1" customWidth="1"/>
    <col min="13085" max="13085" width="1.140625" style="99" customWidth="1"/>
    <col min="13086" max="13086" width="15.7109375" style="99" customWidth="1"/>
    <col min="13087" max="13087" width="1.140625" style="99" customWidth="1"/>
    <col min="13088" max="13088" width="9.140625" style="99"/>
    <col min="13089" max="13090" width="19.42578125" style="99" customWidth="1"/>
    <col min="13091" max="13091" width="9.140625" style="99"/>
    <col min="13092" max="13092" width="12.7109375" style="99" bestFit="1" customWidth="1"/>
    <col min="13093" max="13093" width="9.140625" style="99"/>
    <col min="13094" max="13094" width="11.7109375" style="99" bestFit="1" customWidth="1"/>
    <col min="13095" max="13095" width="10.7109375" style="99" bestFit="1" customWidth="1"/>
    <col min="13096" max="13304" width="9.140625" style="99"/>
    <col min="13305" max="13305" width="1.5703125" style="99" customWidth="1"/>
    <col min="13306" max="13306" width="1.85546875" style="99" customWidth="1"/>
    <col min="13307" max="13307" width="24.28515625" style="99" customWidth="1"/>
    <col min="13308" max="13326" width="0" style="99" hidden="1" customWidth="1"/>
    <col min="13327" max="13327" width="14.5703125" style="99" customWidth="1"/>
    <col min="13328" max="13328" width="1.140625" style="99" customWidth="1"/>
    <col min="13329" max="13331" width="0" style="99" hidden="1" customWidth="1"/>
    <col min="13332" max="13332" width="13.28515625" style="99" customWidth="1"/>
    <col min="13333" max="13333" width="8.28515625" style="99" bestFit="1" customWidth="1"/>
    <col min="13334" max="13334" width="1.28515625" style="99" customWidth="1"/>
    <col min="13335" max="13335" width="0" style="99" hidden="1" customWidth="1"/>
    <col min="13336" max="13336" width="11.85546875" style="99" customWidth="1"/>
    <col min="13337" max="13337" width="7.140625" style="99" bestFit="1" customWidth="1"/>
    <col min="13338" max="13338" width="1.42578125" style="99" customWidth="1"/>
    <col min="13339" max="13339" width="13" style="99" customWidth="1"/>
    <col min="13340" max="13340" width="8.28515625" style="99" bestFit="1" customWidth="1"/>
    <col min="13341" max="13341" width="1.140625" style="99" customWidth="1"/>
    <col min="13342" max="13342" width="15.7109375" style="99" customWidth="1"/>
    <col min="13343" max="13343" width="1.140625" style="99" customWidth="1"/>
    <col min="13344" max="13344" width="9.140625" style="99"/>
    <col min="13345" max="13346" width="19.42578125" style="99" customWidth="1"/>
    <col min="13347" max="13347" width="9.140625" style="99"/>
    <col min="13348" max="13348" width="12.7109375" style="99" bestFit="1" customWidth="1"/>
    <col min="13349" max="13349" width="9.140625" style="99"/>
    <col min="13350" max="13350" width="11.7109375" style="99" bestFit="1" customWidth="1"/>
    <col min="13351" max="13351" width="10.7109375" style="99" bestFit="1" customWidth="1"/>
    <col min="13352" max="13560" width="9.140625" style="99"/>
    <col min="13561" max="13561" width="1.5703125" style="99" customWidth="1"/>
    <col min="13562" max="13562" width="1.85546875" style="99" customWidth="1"/>
    <col min="13563" max="13563" width="24.28515625" style="99" customWidth="1"/>
    <col min="13564" max="13582" width="0" style="99" hidden="1" customWidth="1"/>
    <col min="13583" max="13583" width="14.5703125" style="99" customWidth="1"/>
    <col min="13584" max="13584" width="1.140625" style="99" customWidth="1"/>
    <col min="13585" max="13587" width="0" style="99" hidden="1" customWidth="1"/>
    <col min="13588" max="13588" width="13.28515625" style="99" customWidth="1"/>
    <col min="13589" max="13589" width="8.28515625" style="99" bestFit="1" customWidth="1"/>
    <col min="13590" max="13590" width="1.28515625" style="99" customWidth="1"/>
    <col min="13591" max="13591" width="0" style="99" hidden="1" customWidth="1"/>
    <col min="13592" max="13592" width="11.85546875" style="99" customWidth="1"/>
    <col min="13593" max="13593" width="7.140625" style="99" bestFit="1" customWidth="1"/>
    <col min="13594" max="13594" width="1.42578125" style="99" customWidth="1"/>
    <col min="13595" max="13595" width="13" style="99" customWidth="1"/>
    <col min="13596" max="13596" width="8.28515625" style="99" bestFit="1" customWidth="1"/>
    <col min="13597" max="13597" width="1.140625" style="99" customWidth="1"/>
    <col min="13598" max="13598" width="15.7109375" style="99" customWidth="1"/>
    <col min="13599" max="13599" width="1.140625" style="99" customWidth="1"/>
    <col min="13600" max="13600" width="9.140625" style="99"/>
    <col min="13601" max="13602" width="19.42578125" style="99" customWidth="1"/>
    <col min="13603" max="13603" width="9.140625" style="99"/>
    <col min="13604" max="13604" width="12.7109375" style="99" bestFit="1" customWidth="1"/>
    <col min="13605" max="13605" width="9.140625" style="99"/>
    <col min="13606" max="13606" width="11.7109375" style="99" bestFit="1" customWidth="1"/>
    <col min="13607" max="13607" width="10.7109375" style="99" bestFit="1" customWidth="1"/>
    <col min="13608" max="13816" width="9.140625" style="99"/>
    <col min="13817" max="13817" width="1.5703125" style="99" customWidth="1"/>
    <col min="13818" max="13818" width="1.85546875" style="99" customWidth="1"/>
    <col min="13819" max="13819" width="24.28515625" style="99" customWidth="1"/>
    <col min="13820" max="13838" width="0" style="99" hidden="1" customWidth="1"/>
    <col min="13839" max="13839" width="14.5703125" style="99" customWidth="1"/>
    <col min="13840" max="13840" width="1.140625" style="99" customWidth="1"/>
    <col min="13841" max="13843" width="0" style="99" hidden="1" customWidth="1"/>
    <col min="13844" max="13844" width="13.28515625" style="99" customWidth="1"/>
    <col min="13845" max="13845" width="8.28515625" style="99" bestFit="1" customWidth="1"/>
    <col min="13846" max="13846" width="1.28515625" style="99" customWidth="1"/>
    <col min="13847" max="13847" width="0" style="99" hidden="1" customWidth="1"/>
    <col min="13848" max="13848" width="11.85546875" style="99" customWidth="1"/>
    <col min="13849" max="13849" width="7.140625" style="99" bestFit="1" customWidth="1"/>
    <col min="13850" max="13850" width="1.42578125" style="99" customWidth="1"/>
    <col min="13851" max="13851" width="13" style="99" customWidth="1"/>
    <col min="13852" max="13852" width="8.28515625" style="99" bestFit="1" customWidth="1"/>
    <col min="13853" max="13853" width="1.140625" style="99" customWidth="1"/>
    <col min="13854" max="13854" width="15.7109375" style="99" customWidth="1"/>
    <col min="13855" max="13855" width="1.140625" style="99" customWidth="1"/>
    <col min="13856" max="13856" width="9.140625" style="99"/>
    <col min="13857" max="13858" width="19.42578125" style="99" customWidth="1"/>
    <col min="13859" max="13859" width="9.140625" style="99"/>
    <col min="13860" max="13860" width="12.7109375" style="99" bestFit="1" customWidth="1"/>
    <col min="13861" max="13861" width="9.140625" style="99"/>
    <col min="13862" max="13862" width="11.7109375" style="99" bestFit="1" customWidth="1"/>
    <col min="13863" max="13863" width="10.7109375" style="99" bestFit="1" customWidth="1"/>
    <col min="13864" max="14072" width="9.140625" style="99"/>
    <col min="14073" max="14073" width="1.5703125" style="99" customWidth="1"/>
    <col min="14074" max="14074" width="1.85546875" style="99" customWidth="1"/>
    <col min="14075" max="14075" width="24.28515625" style="99" customWidth="1"/>
    <col min="14076" max="14094" width="0" style="99" hidden="1" customWidth="1"/>
    <col min="14095" max="14095" width="14.5703125" style="99" customWidth="1"/>
    <col min="14096" max="14096" width="1.140625" style="99" customWidth="1"/>
    <col min="14097" max="14099" width="0" style="99" hidden="1" customWidth="1"/>
    <col min="14100" max="14100" width="13.28515625" style="99" customWidth="1"/>
    <col min="14101" max="14101" width="8.28515625" style="99" bestFit="1" customWidth="1"/>
    <col min="14102" max="14102" width="1.28515625" style="99" customWidth="1"/>
    <col min="14103" max="14103" width="0" style="99" hidden="1" customWidth="1"/>
    <col min="14104" max="14104" width="11.85546875" style="99" customWidth="1"/>
    <col min="14105" max="14105" width="7.140625" style="99" bestFit="1" customWidth="1"/>
    <col min="14106" max="14106" width="1.42578125" style="99" customWidth="1"/>
    <col min="14107" max="14107" width="13" style="99" customWidth="1"/>
    <col min="14108" max="14108" width="8.28515625" style="99" bestFit="1" customWidth="1"/>
    <col min="14109" max="14109" width="1.140625" style="99" customWidth="1"/>
    <col min="14110" max="14110" width="15.7109375" style="99" customWidth="1"/>
    <col min="14111" max="14111" width="1.140625" style="99" customWidth="1"/>
    <col min="14112" max="14112" width="9.140625" style="99"/>
    <col min="14113" max="14114" width="19.42578125" style="99" customWidth="1"/>
    <col min="14115" max="14115" width="9.140625" style="99"/>
    <col min="14116" max="14116" width="12.7109375" style="99" bestFit="1" customWidth="1"/>
    <col min="14117" max="14117" width="9.140625" style="99"/>
    <col min="14118" max="14118" width="11.7109375" style="99" bestFit="1" customWidth="1"/>
    <col min="14119" max="14119" width="10.7109375" style="99" bestFit="1" customWidth="1"/>
    <col min="14120" max="14328" width="9.140625" style="99"/>
    <col min="14329" max="14329" width="1.5703125" style="99" customWidth="1"/>
    <col min="14330" max="14330" width="1.85546875" style="99" customWidth="1"/>
    <col min="14331" max="14331" width="24.28515625" style="99" customWidth="1"/>
    <col min="14332" max="14350" width="0" style="99" hidden="1" customWidth="1"/>
    <col min="14351" max="14351" width="14.5703125" style="99" customWidth="1"/>
    <col min="14352" max="14352" width="1.140625" style="99" customWidth="1"/>
    <col min="14353" max="14355" width="0" style="99" hidden="1" customWidth="1"/>
    <col min="14356" max="14356" width="13.28515625" style="99" customWidth="1"/>
    <col min="14357" max="14357" width="8.28515625" style="99" bestFit="1" customWidth="1"/>
    <col min="14358" max="14358" width="1.28515625" style="99" customWidth="1"/>
    <col min="14359" max="14359" width="0" style="99" hidden="1" customWidth="1"/>
    <col min="14360" max="14360" width="11.85546875" style="99" customWidth="1"/>
    <col min="14361" max="14361" width="7.140625" style="99" bestFit="1" customWidth="1"/>
    <col min="14362" max="14362" width="1.42578125" style="99" customWidth="1"/>
    <col min="14363" max="14363" width="13" style="99" customWidth="1"/>
    <col min="14364" max="14364" width="8.28515625" style="99" bestFit="1" customWidth="1"/>
    <col min="14365" max="14365" width="1.140625" style="99" customWidth="1"/>
    <col min="14366" max="14366" width="15.7109375" style="99" customWidth="1"/>
    <col min="14367" max="14367" width="1.140625" style="99" customWidth="1"/>
    <col min="14368" max="14368" width="9.140625" style="99"/>
    <col min="14369" max="14370" width="19.42578125" style="99" customWidth="1"/>
    <col min="14371" max="14371" width="9.140625" style="99"/>
    <col min="14372" max="14372" width="12.7109375" style="99" bestFit="1" customWidth="1"/>
    <col min="14373" max="14373" width="9.140625" style="99"/>
    <col min="14374" max="14374" width="11.7109375" style="99" bestFit="1" customWidth="1"/>
    <col min="14375" max="14375" width="10.7109375" style="99" bestFit="1" customWidth="1"/>
    <col min="14376" max="14584" width="9.140625" style="99"/>
    <col min="14585" max="14585" width="1.5703125" style="99" customWidth="1"/>
    <col min="14586" max="14586" width="1.85546875" style="99" customWidth="1"/>
    <col min="14587" max="14587" width="24.28515625" style="99" customWidth="1"/>
    <col min="14588" max="14606" width="0" style="99" hidden="1" customWidth="1"/>
    <col min="14607" max="14607" width="14.5703125" style="99" customWidth="1"/>
    <col min="14608" max="14608" width="1.140625" style="99" customWidth="1"/>
    <col min="14609" max="14611" width="0" style="99" hidden="1" customWidth="1"/>
    <col min="14612" max="14612" width="13.28515625" style="99" customWidth="1"/>
    <col min="14613" max="14613" width="8.28515625" style="99" bestFit="1" customWidth="1"/>
    <col min="14614" max="14614" width="1.28515625" style="99" customWidth="1"/>
    <col min="14615" max="14615" width="0" style="99" hidden="1" customWidth="1"/>
    <col min="14616" max="14616" width="11.85546875" style="99" customWidth="1"/>
    <col min="14617" max="14617" width="7.140625" style="99" bestFit="1" customWidth="1"/>
    <col min="14618" max="14618" width="1.42578125" style="99" customWidth="1"/>
    <col min="14619" max="14619" width="13" style="99" customWidth="1"/>
    <col min="14620" max="14620" width="8.28515625" style="99" bestFit="1" customWidth="1"/>
    <col min="14621" max="14621" width="1.140625" style="99" customWidth="1"/>
    <col min="14622" max="14622" width="15.7109375" style="99" customWidth="1"/>
    <col min="14623" max="14623" width="1.140625" style="99" customWidth="1"/>
    <col min="14624" max="14624" width="9.140625" style="99"/>
    <col min="14625" max="14626" width="19.42578125" style="99" customWidth="1"/>
    <col min="14627" max="14627" width="9.140625" style="99"/>
    <col min="14628" max="14628" width="12.7109375" style="99" bestFit="1" customWidth="1"/>
    <col min="14629" max="14629" width="9.140625" style="99"/>
    <col min="14630" max="14630" width="11.7109375" style="99" bestFit="1" customWidth="1"/>
    <col min="14631" max="14631" width="10.7109375" style="99" bestFit="1" customWidth="1"/>
    <col min="14632" max="14840" width="9.140625" style="99"/>
    <col min="14841" max="14841" width="1.5703125" style="99" customWidth="1"/>
    <col min="14842" max="14842" width="1.85546875" style="99" customWidth="1"/>
    <col min="14843" max="14843" width="24.28515625" style="99" customWidth="1"/>
    <col min="14844" max="14862" width="0" style="99" hidden="1" customWidth="1"/>
    <col min="14863" max="14863" width="14.5703125" style="99" customWidth="1"/>
    <col min="14864" max="14864" width="1.140625" style="99" customWidth="1"/>
    <col min="14865" max="14867" width="0" style="99" hidden="1" customWidth="1"/>
    <col min="14868" max="14868" width="13.28515625" style="99" customWidth="1"/>
    <col min="14869" max="14869" width="8.28515625" style="99" bestFit="1" customWidth="1"/>
    <col min="14870" max="14870" width="1.28515625" style="99" customWidth="1"/>
    <col min="14871" max="14871" width="0" style="99" hidden="1" customWidth="1"/>
    <col min="14872" max="14872" width="11.85546875" style="99" customWidth="1"/>
    <col min="14873" max="14873" width="7.140625" style="99" bestFit="1" customWidth="1"/>
    <col min="14874" max="14874" width="1.42578125" style="99" customWidth="1"/>
    <col min="14875" max="14875" width="13" style="99" customWidth="1"/>
    <col min="14876" max="14876" width="8.28515625" style="99" bestFit="1" customWidth="1"/>
    <col min="14877" max="14877" width="1.140625" style="99" customWidth="1"/>
    <col min="14878" max="14878" width="15.7109375" style="99" customWidth="1"/>
    <col min="14879" max="14879" width="1.140625" style="99" customWidth="1"/>
    <col min="14880" max="14880" width="9.140625" style="99"/>
    <col min="14881" max="14882" width="19.42578125" style="99" customWidth="1"/>
    <col min="14883" max="14883" width="9.140625" style="99"/>
    <col min="14884" max="14884" width="12.7109375" style="99" bestFit="1" customWidth="1"/>
    <col min="14885" max="14885" width="9.140625" style="99"/>
    <col min="14886" max="14886" width="11.7109375" style="99" bestFit="1" customWidth="1"/>
    <col min="14887" max="14887" width="10.7109375" style="99" bestFit="1" customWidth="1"/>
    <col min="14888" max="15096" width="9.140625" style="99"/>
    <col min="15097" max="15097" width="1.5703125" style="99" customWidth="1"/>
    <col min="15098" max="15098" width="1.85546875" style="99" customWidth="1"/>
    <col min="15099" max="15099" width="24.28515625" style="99" customWidth="1"/>
    <col min="15100" max="15118" width="0" style="99" hidden="1" customWidth="1"/>
    <col min="15119" max="15119" width="14.5703125" style="99" customWidth="1"/>
    <col min="15120" max="15120" width="1.140625" style="99" customWidth="1"/>
    <col min="15121" max="15123" width="0" style="99" hidden="1" customWidth="1"/>
    <col min="15124" max="15124" width="13.28515625" style="99" customWidth="1"/>
    <col min="15125" max="15125" width="8.28515625" style="99" bestFit="1" customWidth="1"/>
    <col min="15126" max="15126" width="1.28515625" style="99" customWidth="1"/>
    <col min="15127" max="15127" width="0" style="99" hidden="1" customWidth="1"/>
    <col min="15128" max="15128" width="11.85546875" style="99" customWidth="1"/>
    <col min="15129" max="15129" width="7.140625" style="99" bestFit="1" customWidth="1"/>
    <col min="15130" max="15130" width="1.42578125" style="99" customWidth="1"/>
    <col min="15131" max="15131" width="13" style="99" customWidth="1"/>
    <col min="15132" max="15132" width="8.28515625" style="99" bestFit="1" customWidth="1"/>
    <col min="15133" max="15133" width="1.140625" style="99" customWidth="1"/>
    <col min="15134" max="15134" width="15.7109375" style="99" customWidth="1"/>
    <col min="15135" max="15135" width="1.140625" style="99" customWidth="1"/>
    <col min="15136" max="15136" width="9.140625" style="99"/>
    <col min="15137" max="15138" width="19.42578125" style="99" customWidth="1"/>
    <col min="15139" max="15139" width="9.140625" style="99"/>
    <col min="15140" max="15140" width="12.7109375" style="99" bestFit="1" customWidth="1"/>
    <col min="15141" max="15141" width="9.140625" style="99"/>
    <col min="15142" max="15142" width="11.7109375" style="99" bestFit="1" customWidth="1"/>
    <col min="15143" max="15143" width="10.7109375" style="99" bestFit="1" customWidth="1"/>
    <col min="15144" max="15352" width="9.140625" style="99"/>
    <col min="15353" max="15353" width="1.5703125" style="99" customWidth="1"/>
    <col min="15354" max="15354" width="1.85546875" style="99" customWidth="1"/>
    <col min="15355" max="15355" width="24.28515625" style="99" customWidth="1"/>
    <col min="15356" max="15374" width="0" style="99" hidden="1" customWidth="1"/>
    <col min="15375" max="15375" width="14.5703125" style="99" customWidth="1"/>
    <col min="15376" max="15376" width="1.140625" style="99" customWidth="1"/>
    <col min="15377" max="15379" width="0" style="99" hidden="1" customWidth="1"/>
    <col min="15380" max="15380" width="13.28515625" style="99" customWidth="1"/>
    <col min="15381" max="15381" width="8.28515625" style="99" bestFit="1" customWidth="1"/>
    <col min="15382" max="15382" width="1.28515625" style="99" customWidth="1"/>
    <col min="15383" max="15383" width="0" style="99" hidden="1" customWidth="1"/>
    <col min="15384" max="15384" width="11.85546875" style="99" customWidth="1"/>
    <col min="15385" max="15385" width="7.140625" style="99" bestFit="1" customWidth="1"/>
    <col min="15386" max="15386" width="1.42578125" style="99" customWidth="1"/>
    <col min="15387" max="15387" width="13" style="99" customWidth="1"/>
    <col min="15388" max="15388" width="8.28515625" style="99" bestFit="1" customWidth="1"/>
    <col min="15389" max="15389" width="1.140625" style="99" customWidth="1"/>
    <col min="15390" max="15390" width="15.7109375" style="99" customWidth="1"/>
    <col min="15391" max="15391" width="1.140625" style="99" customWidth="1"/>
    <col min="15392" max="15392" width="9.140625" style="99"/>
    <col min="15393" max="15394" width="19.42578125" style="99" customWidth="1"/>
    <col min="15395" max="15395" width="9.140625" style="99"/>
    <col min="15396" max="15396" width="12.7109375" style="99" bestFit="1" customWidth="1"/>
    <col min="15397" max="15397" width="9.140625" style="99"/>
    <col min="15398" max="15398" width="11.7109375" style="99" bestFit="1" customWidth="1"/>
    <col min="15399" max="15399" width="10.7109375" style="99" bestFit="1" customWidth="1"/>
    <col min="15400" max="15608" width="9.140625" style="99"/>
    <col min="15609" max="15609" width="1.5703125" style="99" customWidth="1"/>
    <col min="15610" max="15610" width="1.85546875" style="99" customWidth="1"/>
    <col min="15611" max="15611" width="24.28515625" style="99" customWidth="1"/>
    <col min="15612" max="15630" width="0" style="99" hidden="1" customWidth="1"/>
    <col min="15631" max="15631" width="14.5703125" style="99" customWidth="1"/>
    <col min="15632" max="15632" width="1.140625" style="99" customWidth="1"/>
    <col min="15633" max="15635" width="0" style="99" hidden="1" customWidth="1"/>
    <col min="15636" max="15636" width="13.28515625" style="99" customWidth="1"/>
    <col min="15637" max="15637" width="8.28515625" style="99" bestFit="1" customWidth="1"/>
    <col min="15638" max="15638" width="1.28515625" style="99" customWidth="1"/>
    <col min="15639" max="15639" width="0" style="99" hidden="1" customWidth="1"/>
    <col min="15640" max="15640" width="11.85546875" style="99" customWidth="1"/>
    <col min="15641" max="15641" width="7.140625" style="99" bestFit="1" customWidth="1"/>
    <col min="15642" max="15642" width="1.42578125" style="99" customWidth="1"/>
    <col min="15643" max="15643" width="13" style="99" customWidth="1"/>
    <col min="15644" max="15644" width="8.28515625" style="99" bestFit="1" customWidth="1"/>
    <col min="15645" max="15645" width="1.140625" style="99" customWidth="1"/>
    <col min="15646" max="15646" width="15.7109375" style="99" customWidth="1"/>
    <col min="15647" max="15647" width="1.140625" style="99" customWidth="1"/>
    <col min="15648" max="15648" width="9.140625" style="99"/>
    <col min="15649" max="15650" width="19.42578125" style="99" customWidth="1"/>
    <col min="15651" max="15651" width="9.140625" style="99"/>
    <col min="15652" max="15652" width="12.7109375" style="99" bestFit="1" customWidth="1"/>
    <col min="15653" max="15653" width="9.140625" style="99"/>
    <col min="15654" max="15654" width="11.7109375" style="99" bestFit="1" customWidth="1"/>
    <col min="15655" max="15655" width="10.7109375" style="99" bestFit="1" customWidth="1"/>
    <col min="15656" max="15864" width="9.140625" style="99"/>
    <col min="15865" max="15865" width="1.5703125" style="99" customWidth="1"/>
    <col min="15866" max="15866" width="1.85546875" style="99" customWidth="1"/>
    <col min="15867" max="15867" width="24.28515625" style="99" customWidth="1"/>
    <col min="15868" max="15886" width="0" style="99" hidden="1" customWidth="1"/>
    <col min="15887" max="15887" width="14.5703125" style="99" customWidth="1"/>
    <col min="15888" max="15888" width="1.140625" style="99" customWidth="1"/>
    <col min="15889" max="15891" width="0" style="99" hidden="1" customWidth="1"/>
    <col min="15892" max="15892" width="13.28515625" style="99" customWidth="1"/>
    <col min="15893" max="15893" width="8.28515625" style="99" bestFit="1" customWidth="1"/>
    <col min="15894" max="15894" width="1.28515625" style="99" customWidth="1"/>
    <col min="15895" max="15895" width="0" style="99" hidden="1" customWidth="1"/>
    <col min="15896" max="15896" width="11.85546875" style="99" customWidth="1"/>
    <col min="15897" max="15897" width="7.140625" style="99" bestFit="1" customWidth="1"/>
    <col min="15898" max="15898" width="1.42578125" style="99" customWidth="1"/>
    <col min="15899" max="15899" width="13" style="99" customWidth="1"/>
    <col min="15900" max="15900" width="8.28515625" style="99" bestFit="1" customWidth="1"/>
    <col min="15901" max="15901" width="1.140625" style="99" customWidth="1"/>
    <col min="15902" max="15902" width="15.7109375" style="99" customWidth="1"/>
    <col min="15903" max="15903" width="1.140625" style="99" customWidth="1"/>
    <col min="15904" max="15904" width="9.140625" style="99"/>
    <col min="15905" max="15906" width="19.42578125" style="99" customWidth="1"/>
    <col min="15907" max="15907" width="9.140625" style="99"/>
    <col min="15908" max="15908" width="12.7109375" style="99" bestFit="1" customWidth="1"/>
    <col min="15909" max="15909" width="9.140625" style="99"/>
    <col min="15910" max="15910" width="11.7109375" style="99" bestFit="1" customWidth="1"/>
    <col min="15911" max="15911" width="10.7109375" style="99" bestFit="1" customWidth="1"/>
    <col min="15912" max="16120" width="9.140625" style="99"/>
    <col min="16121" max="16121" width="1.5703125" style="99" customWidth="1"/>
    <col min="16122" max="16122" width="1.85546875" style="99" customWidth="1"/>
    <col min="16123" max="16123" width="24.28515625" style="99" customWidth="1"/>
    <col min="16124" max="16142" width="0" style="99" hidden="1" customWidth="1"/>
    <col min="16143" max="16143" width="14.5703125" style="99" customWidth="1"/>
    <col min="16144" max="16144" width="1.140625" style="99" customWidth="1"/>
    <col min="16145" max="16147" width="0" style="99" hidden="1" customWidth="1"/>
    <col min="16148" max="16148" width="13.28515625" style="99" customWidth="1"/>
    <col min="16149" max="16149" width="8.28515625" style="99" bestFit="1" customWidth="1"/>
    <col min="16150" max="16150" width="1.28515625" style="99" customWidth="1"/>
    <col min="16151" max="16151" width="0" style="99" hidden="1" customWidth="1"/>
    <col min="16152" max="16152" width="11.85546875" style="99" customWidth="1"/>
    <col min="16153" max="16153" width="7.140625" style="99" bestFit="1" customWidth="1"/>
    <col min="16154" max="16154" width="1.42578125" style="99" customWidth="1"/>
    <col min="16155" max="16155" width="13" style="99" customWidth="1"/>
    <col min="16156" max="16156" width="8.28515625" style="99" bestFit="1" customWidth="1"/>
    <col min="16157" max="16157" width="1.140625" style="99" customWidth="1"/>
    <col min="16158" max="16158" width="15.7109375" style="99" customWidth="1"/>
    <col min="16159" max="16159" width="1.140625" style="99" customWidth="1"/>
    <col min="16160" max="16160" width="9.140625" style="99"/>
    <col min="16161" max="16162" width="19.42578125" style="99" customWidth="1"/>
    <col min="16163" max="16163" width="9.140625" style="99"/>
    <col min="16164" max="16164" width="12.7109375" style="99" bestFit="1" customWidth="1"/>
    <col min="16165" max="16165" width="9.140625" style="99"/>
    <col min="16166" max="16166" width="11.7109375" style="99" bestFit="1" customWidth="1"/>
    <col min="16167" max="16167" width="10.7109375" style="99" bestFit="1" customWidth="1"/>
    <col min="16168" max="16384" width="9.140625" style="99"/>
  </cols>
  <sheetData>
    <row r="1" spans="1:41" ht="19.5" thickBot="1" x14ac:dyDescent="0.35">
      <c r="A1" s="37" t="s">
        <v>9</v>
      </c>
      <c r="B1" s="97"/>
      <c r="C1" s="97"/>
      <c r="D1" s="97"/>
      <c r="E1" s="97"/>
      <c r="F1" s="97"/>
      <c r="G1" s="97"/>
      <c r="H1" s="9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8"/>
      <c r="U1" s="97"/>
      <c r="V1" s="38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453" t="s">
        <v>330</v>
      </c>
      <c r="AM1" s="202" t="e">
        <f>#REF!</f>
        <v>#REF!</v>
      </c>
    </row>
    <row r="2" spans="1:41" ht="25.5" x14ac:dyDescent="0.35">
      <c r="A2" s="54" t="s">
        <v>309</v>
      </c>
      <c r="G2" s="99"/>
      <c r="H2" s="99"/>
      <c r="J2" s="100"/>
      <c r="K2" s="100"/>
      <c r="O2" s="99"/>
      <c r="P2" s="99"/>
      <c r="Q2" s="99"/>
      <c r="R2" s="99"/>
      <c r="T2" s="99"/>
      <c r="Y2" s="100" t="s">
        <v>10</v>
      </c>
      <c r="Z2" s="100"/>
      <c r="AA2" s="100"/>
      <c r="AE2" s="100" t="s">
        <v>10</v>
      </c>
      <c r="AI2" s="152"/>
      <c r="AJ2" s="153"/>
      <c r="AK2" s="153"/>
      <c r="AL2" s="429"/>
    </row>
    <row r="3" spans="1:41" s="82" customFormat="1" ht="20.100000000000001" customHeight="1" x14ac:dyDescent="0.25">
      <c r="G3" s="101"/>
      <c r="H3" s="102"/>
      <c r="J3" s="101"/>
      <c r="K3" s="103"/>
      <c r="O3" s="101"/>
      <c r="P3" s="103"/>
      <c r="Q3" s="103"/>
      <c r="R3" s="103"/>
      <c r="T3" s="102"/>
      <c r="Y3" s="103"/>
      <c r="Z3" s="103"/>
      <c r="AA3" s="101"/>
      <c r="AE3" s="103"/>
    </row>
    <row r="4" spans="1:41" ht="13.5" x14ac:dyDescent="0.25">
      <c r="E4" s="196"/>
      <c r="H4" s="39" t="s">
        <v>11</v>
      </c>
      <c r="L4" s="479"/>
      <c r="M4" s="479"/>
      <c r="T4" s="40" t="s">
        <v>12</v>
      </c>
      <c r="U4" s="41"/>
      <c r="W4" s="193" t="s">
        <v>11</v>
      </c>
      <c r="X4" s="106"/>
      <c r="Y4" s="107"/>
      <c r="Z4" s="107"/>
      <c r="AA4" s="108"/>
      <c r="AB4" s="474" t="s">
        <v>12</v>
      </c>
      <c r="AC4" s="475"/>
      <c r="AD4" s="42"/>
      <c r="AE4" s="107"/>
      <c r="AF4" s="474" t="s">
        <v>13</v>
      </c>
      <c r="AG4" s="475"/>
      <c r="AH4" s="106"/>
      <c r="AI4" s="474" t="s">
        <v>14</v>
      </c>
      <c r="AJ4" s="475"/>
      <c r="AK4" s="106"/>
      <c r="AL4" s="192" t="s">
        <v>15</v>
      </c>
    </row>
    <row r="5" spans="1:41" s="109" customFormat="1" ht="65.25" x14ac:dyDescent="0.3">
      <c r="E5" s="194" t="s">
        <v>92</v>
      </c>
      <c r="F5" s="194"/>
      <c r="G5" s="43" t="s">
        <v>16</v>
      </c>
      <c r="H5" s="44" t="s">
        <v>17</v>
      </c>
      <c r="I5" s="194"/>
      <c r="J5" s="43" t="s">
        <v>18</v>
      </c>
      <c r="K5" s="45" t="s">
        <v>19</v>
      </c>
      <c r="L5" s="476" t="s">
        <v>20</v>
      </c>
      <c r="M5" s="476"/>
      <c r="N5" s="194"/>
      <c r="O5" s="43" t="s">
        <v>18</v>
      </c>
      <c r="P5" s="45" t="s">
        <v>8</v>
      </c>
      <c r="Q5" s="45" t="s">
        <v>21</v>
      </c>
      <c r="R5" s="45" t="s">
        <v>22</v>
      </c>
      <c r="S5" s="194"/>
      <c r="T5" s="44" t="s">
        <v>122</v>
      </c>
      <c r="U5" s="46"/>
      <c r="W5" s="195" t="s">
        <v>310</v>
      </c>
      <c r="X5" s="47"/>
      <c r="Y5" s="45" t="s">
        <v>23</v>
      </c>
      <c r="Z5" s="45" t="s">
        <v>24</v>
      </c>
      <c r="AA5" s="43" t="s">
        <v>25</v>
      </c>
      <c r="AB5" s="477" t="s">
        <v>311</v>
      </c>
      <c r="AC5" s="477"/>
      <c r="AD5" s="194"/>
      <c r="AE5" s="45" t="s">
        <v>26</v>
      </c>
      <c r="AF5" s="477" t="s">
        <v>312</v>
      </c>
      <c r="AG5" s="477"/>
      <c r="AH5" s="47"/>
      <c r="AI5" s="477" t="s">
        <v>313</v>
      </c>
      <c r="AJ5" s="477"/>
      <c r="AK5" s="47"/>
      <c r="AL5" s="195" t="s">
        <v>314</v>
      </c>
      <c r="AM5" s="194"/>
    </row>
    <row r="6" spans="1:41" s="82" customFormat="1" ht="26.25" x14ac:dyDescent="0.25">
      <c r="B6" s="426" t="s">
        <v>268</v>
      </c>
      <c r="C6" s="427"/>
      <c r="E6" s="47" t="s">
        <v>5</v>
      </c>
      <c r="F6" s="47"/>
      <c r="G6" s="43" t="s">
        <v>5</v>
      </c>
      <c r="H6" s="48" t="s">
        <v>5</v>
      </c>
      <c r="I6" s="47"/>
      <c r="J6" s="43" t="s">
        <v>5</v>
      </c>
      <c r="K6" s="45" t="s">
        <v>5</v>
      </c>
      <c r="L6" s="47" t="s">
        <v>5</v>
      </c>
      <c r="M6" s="47" t="s">
        <v>27</v>
      </c>
      <c r="N6" s="47"/>
      <c r="O6" s="43" t="s">
        <v>5</v>
      </c>
      <c r="P6" s="45" t="s">
        <v>5</v>
      </c>
      <c r="Q6" s="45" t="s">
        <v>5</v>
      </c>
      <c r="R6" s="45" t="s">
        <v>5</v>
      </c>
      <c r="S6" s="47"/>
      <c r="T6" s="48" t="s">
        <v>5</v>
      </c>
      <c r="U6" s="49" t="s">
        <v>27</v>
      </c>
      <c r="W6" s="50" t="s">
        <v>5</v>
      </c>
      <c r="X6" s="47"/>
      <c r="Y6" s="45" t="s">
        <v>5</v>
      </c>
      <c r="Z6" s="45" t="s">
        <v>5</v>
      </c>
      <c r="AA6" s="43" t="s">
        <v>5</v>
      </c>
      <c r="AB6" s="50" t="s">
        <v>5</v>
      </c>
      <c r="AC6" s="50" t="s">
        <v>27</v>
      </c>
      <c r="AD6" s="47"/>
      <c r="AE6" s="45" t="s">
        <v>5</v>
      </c>
      <c r="AF6" s="50" t="s">
        <v>5</v>
      </c>
      <c r="AG6" s="50" t="s">
        <v>27</v>
      </c>
      <c r="AH6" s="47"/>
      <c r="AI6" s="50" t="s">
        <v>5</v>
      </c>
      <c r="AJ6" s="50" t="s">
        <v>27</v>
      </c>
      <c r="AK6" s="47"/>
      <c r="AL6" s="50" t="s">
        <v>5</v>
      </c>
      <c r="AM6" s="51"/>
    </row>
    <row r="7" spans="1:41" s="82" customFormat="1" ht="6" customHeight="1" x14ac:dyDescent="0.25">
      <c r="G7" s="101"/>
      <c r="H7" s="102"/>
      <c r="J7" s="101"/>
      <c r="K7" s="103"/>
      <c r="O7" s="101"/>
      <c r="P7" s="103"/>
      <c r="Q7" s="103"/>
      <c r="R7" s="103"/>
      <c r="T7" s="102"/>
      <c r="Y7" s="103"/>
      <c r="Z7" s="103"/>
      <c r="AA7" s="101"/>
      <c r="AE7" s="103"/>
    </row>
    <row r="8" spans="1:41" s="82" customFormat="1" ht="20.100000000000001" customHeight="1" x14ac:dyDescent="0.25">
      <c r="B8" s="417" t="s">
        <v>28</v>
      </c>
      <c r="C8" s="418"/>
      <c r="D8" s="418"/>
      <c r="E8" s="424">
        <f>218451900+21786300</f>
        <v>240238200</v>
      </c>
      <c r="F8" s="418"/>
      <c r="G8" s="419">
        <v>-18756300</v>
      </c>
      <c r="H8" s="424">
        <f t="shared" ref="H8:H15" si="0">+E8+G8</f>
        <v>221481900</v>
      </c>
      <c r="I8" s="418"/>
      <c r="J8" s="419">
        <v>-7069900</v>
      </c>
      <c r="K8" s="419"/>
      <c r="L8" s="419">
        <f t="shared" ref="L8:L15" si="1">SUM(J8:K8)</f>
        <v>-7069900</v>
      </c>
      <c r="M8" s="425">
        <f t="shared" ref="M8:M15" si="2">L8/$E8</f>
        <v>-2.9428708673308407E-2</v>
      </c>
      <c r="N8" s="418"/>
      <c r="O8" s="419"/>
      <c r="P8" s="419"/>
      <c r="Q8" s="419"/>
      <c r="R8" s="419"/>
      <c r="S8" s="418"/>
      <c r="T8" s="424">
        <f t="shared" ref="T8:T15" si="3">SUM(O8:R8)</f>
        <v>0</v>
      </c>
      <c r="U8" s="421">
        <f t="shared" ref="U8:U15" si="4">T8/$E8</f>
        <v>0</v>
      </c>
      <c r="V8" s="418"/>
      <c r="W8" s="424">
        <v>483028600</v>
      </c>
      <c r="X8" s="422"/>
      <c r="Y8" s="422">
        <f>8483900-6700+3400</f>
        <v>8480600</v>
      </c>
      <c r="Z8" s="422">
        <f>647200+1125000-250000</f>
        <v>1522200</v>
      </c>
      <c r="AA8" s="422">
        <v>-56000</v>
      </c>
      <c r="AB8" s="424">
        <f>+UU!F24</f>
        <v>21580000</v>
      </c>
      <c r="AC8" s="423">
        <f t="shared" ref="AC8:AC15" si="5">+AB8/$W8</f>
        <v>4.4676443589468616E-2</v>
      </c>
      <c r="AD8" s="423"/>
      <c r="AE8" s="419">
        <v>-1468500</v>
      </c>
      <c r="AF8" s="424">
        <f>+UU!F36</f>
        <v>6874900</v>
      </c>
      <c r="AG8" s="423">
        <f t="shared" ref="AG8:AG15" si="6">+AF8/$W8</f>
        <v>1.4232904635460508E-2</v>
      </c>
      <c r="AH8" s="419"/>
      <c r="AI8" s="424">
        <f>+AF8+AB8</f>
        <v>28454900</v>
      </c>
      <c r="AJ8" s="423">
        <f>+AI8/$W8</f>
        <v>5.8909348224929124E-2</v>
      </c>
      <c r="AK8" s="419"/>
      <c r="AL8" s="424">
        <f t="shared" ref="AL8:AL15" si="7">+AI8+W8</f>
        <v>511483500</v>
      </c>
      <c r="AN8" s="201"/>
      <c r="AO8" s="88"/>
    </row>
    <row r="9" spans="1:41" s="82" customFormat="1" ht="20.100000000000001" customHeight="1" x14ac:dyDescent="0.25">
      <c r="B9" s="52" t="s">
        <v>29</v>
      </c>
      <c r="E9" s="88">
        <f>134722200+13377600</f>
        <v>148099800</v>
      </c>
      <c r="G9" s="90">
        <v>-12915300</v>
      </c>
      <c r="H9" s="91">
        <f t="shared" si="0"/>
        <v>135184500</v>
      </c>
      <c r="J9" s="90">
        <v>-4200500</v>
      </c>
      <c r="K9" s="92"/>
      <c r="L9" s="88">
        <f t="shared" si="1"/>
        <v>-4200500</v>
      </c>
      <c r="M9" s="93">
        <f t="shared" si="2"/>
        <v>-2.8362631144674064E-2</v>
      </c>
      <c r="O9" s="90"/>
      <c r="P9" s="92"/>
      <c r="Q9" s="92"/>
      <c r="R9" s="92"/>
      <c r="T9" s="91">
        <f t="shared" si="3"/>
        <v>0</v>
      </c>
      <c r="U9" s="94">
        <f t="shared" si="4"/>
        <v>0</v>
      </c>
      <c r="W9" s="88">
        <v>320920900</v>
      </c>
      <c r="X9" s="198"/>
      <c r="Y9" s="199">
        <v>5918900</v>
      </c>
      <c r="Z9" s="199">
        <f>90400+13900</f>
        <v>104300</v>
      </c>
      <c r="AA9" s="200"/>
      <c r="AB9" s="88">
        <f>+USU!F27</f>
        <v>11275000</v>
      </c>
      <c r="AC9" s="95">
        <f t="shared" si="5"/>
        <v>3.5133268042062703E-2</v>
      </c>
      <c r="AD9" s="95"/>
      <c r="AE9" s="92">
        <v>-265100</v>
      </c>
      <c r="AF9" s="88">
        <f>+USU!F40</f>
        <v>6219500</v>
      </c>
      <c r="AG9" s="95">
        <f t="shared" si="6"/>
        <v>1.9380165018856671E-2</v>
      </c>
      <c r="AH9" s="88"/>
      <c r="AI9" s="88">
        <f t="shared" ref="AI9:AI15" si="8">+AF9+AB9</f>
        <v>17494500</v>
      </c>
      <c r="AJ9" s="95">
        <f t="shared" ref="AJ9:AJ15" si="9">+AI9/$W9</f>
        <v>5.4513433060919374E-2</v>
      </c>
      <c r="AK9" s="88"/>
      <c r="AL9" s="88">
        <f t="shared" si="7"/>
        <v>338415400</v>
      </c>
      <c r="AN9" s="201"/>
      <c r="AO9" s="88"/>
    </row>
    <row r="10" spans="1:41" s="82" customFormat="1" ht="20.100000000000001" customHeight="1" x14ac:dyDescent="0.25">
      <c r="B10" s="417" t="s">
        <v>30</v>
      </c>
      <c r="C10" s="418"/>
      <c r="D10" s="418"/>
      <c r="E10" s="419">
        <f>59927900+5954100</f>
        <v>65882000</v>
      </c>
      <c r="F10" s="418"/>
      <c r="G10" s="419">
        <v>-5740200</v>
      </c>
      <c r="H10" s="419">
        <f t="shared" si="0"/>
        <v>60141800</v>
      </c>
      <c r="I10" s="418"/>
      <c r="J10" s="419">
        <v>-1953300</v>
      </c>
      <c r="K10" s="419"/>
      <c r="L10" s="419">
        <f t="shared" si="1"/>
        <v>-1953300</v>
      </c>
      <c r="M10" s="420">
        <f t="shared" si="2"/>
        <v>-2.9648462402477156E-2</v>
      </c>
      <c r="N10" s="418"/>
      <c r="O10" s="419"/>
      <c r="P10" s="419"/>
      <c r="Q10" s="419"/>
      <c r="R10" s="419"/>
      <c r="S10" s="418"/>
      <c r="T10" s="419">
        <f t="shared" si="3"/>
        <v>0</v>
      </c>
      <c r="U10" s="421">
        <f t="shared" si="4"/>
        <v>0</v>
      </c>
      <c r="V10" s="418"/>
      <c r="W10" s="419">
        <v>130805000</v>
      </c>
      <c r="X10" s="422"/>
      <c r="Y10" s="422">
        <v>2685300</v>
      </c>
      <c r="Z10" s="422">
        <v>971600</v>
      </c>
      <c r="AA10" s="422">
        <v>0</v>
      </c>
      <c r="AB10" s="419">
        <f>+WSU!F21</f>
        <v>3828800</v>
      </c>
      <c r="AC10" s="423">
        <f t="shared" si="5"/>
        <v>2.9271052329803905E-2</v>
      </c>
      <c r="AD10" s="423"/>
      <c r="AE10" s="419">
        <v>-189300</v>
      </c>
      <c r="AF10" s="419">
        <f>+WSU!F33</f>
        <v>3227500</v>
      </c>
      <c r="AG10" s="423">
        <f t="shared" si="6"/>
        <v>2.4674133251787012E-2</v>
      </c>
      <c r="AH10" s="419"/>
      <c r="AI10" s="419">
        <f t="shared" si="8"/>
        <v>7056300</v>
      </c>
      <c r="AJ10" s="423">
        <f t="shared" si="9"/>
        <v>5.3945185581590921E-2</v>
      </c>
      <c r="AK10" s="419"/>
      <c r="AL10" s="419">
        <f t="shared" si="7"/>
        <v>137861300</v>
      </c>
      <c r="AN10" s="201"/>
      <c r="AO10" s="88"/>
    </row>
    <row r="11" spans="1:41" s="82" customFormat="1" ht="20.100000000000001" customHeight="1" x14ac:dyDescent="0.25">
      <c r="B11" s="52" t="s">
        <v>31</v>
      </c>
      <c r="E11" s="88">
        <f>28468300+2825800</f>
        <v>31294100</v>
      </c>
      <c r="G11" s="90">
        <v>-2429500</v>
      </c>
      <c r="H11" s="91">
        <f t="shared" si="0"/>
        <v>28864600</v>
      </c>
      <c r="J11" s="90">
        <v>-890400</v>
      </c>
      <c r="K11" s="92"/>
      <c r="L11" s="88">
        <f t="shared" si="1"/>
        <v>-890400</v>
      </c>
      <c r="M11" s="93">
        <f t="shared" si="2"/>
        <v>-2.8452647623673472E-2</v>
      </c>
      <c r="O11" s="90"/>
      <c r="P11" s="92"/>
      <c r="Q11" s="92"/>
      <c r="R11" s="92"/>
      <c r="T11" s="91">
        <f t="shared" si="3"/>
        <v>0</v>
      </c>
      <c r="U11" s="94">
        <f t="shared" si="4"/>
        <v>0</v>
      </c>
      <c r="W11" s="88">
        <v>73337800</v>
      </c>
      <c r="X11" s="198"/>
      <c r="Y11" s="199">
        <v>1193700</v>
      </c>
      <c r="Z11" s="199">
        <v>6500</v>
      </c>
      <c r="AA11" s="200">
        <v>-1400</v>
      </c>
      <c r="AB11" s="88">
        <f>+SUU!F24</f>
        <v>3684400</v>
      </c>
      <c r="AC11" s="95">
        <f t="shared" si="5"/>
        <v>5.0238758184728748E-2</v>
      </c>
      <c r="AD11" s="95"/>
      <c r="AE11" s="92">
        <v>-50300</v>
      </c>
      <c r="AF11" s="88">
        <f>+SUU!F38</f>
        <v>1305400</v>
      </c>
      <c r="AG11" s="95">
        <f t="shared" si="6"/>
        <v>1.7799824919754889E-2</v>
      </c>
      <c r="AH11" s="88"/>
      <c r="AI11" s="88">
        <f t="shared" si="8"/>
        <v>4989800</v>
      </c>
      <c r="AJ11" s="95">
        <f t="shared" si="9"/>
        <v>6.803858310448363E-2</v>
      </c>
      <c r="AK11" s="88"/>
      <c r="AL11" s="88">
        <f t="shared" si="7"/>
        <v>78327600</v>
      </c>
      <c r="AN11" s="201"/>
      <c r="AO11" s="88"/>
    </row>
    <row r="12" spans="1:41" s="82" customFormat="1" ht="20.100000000000001" customHeight="1" x14ac:dyDescent="0.25">
      <c r="B12" s="417" t="s">
        <v>32</v>
      </c>
      <c r="C12" s="418"/>
      <c r="D12" s="418"/>
      <c r="E12" s="419">
        <f>18628300+1869000</f>
        <v>20497300</v>
      </c>
      <c r="F12" s="418"/>
      <c r="G12" s="419">
        <v>-1466100</v>
      </c>
      <c r="H12" s="419">
        <f t="shared" si="0"/>
        <v>19031200</v>
      </c>
      <c r="I12" s="418"/>
      <c r="J12" s="419">
        <v>-431400</v>
      </c>
      <c r="K12" s="419"/>
      <c r="L12" s="419">
        <f t="shared" si="1"/>
        <v>-431400</v>
      </c>
      <c r="M12" s="420">
        <f t="shared" si="2"/>
        <v>-2.1046674440048201E-2</v>
      </c>
      <c r="N12" s="418"/>
      <c r="O12" s="419"/>
      <c r="P12" s="419"/>
      <c r="Q12" s="419"/>
      <c r="R12" s="419"/>
      <c r="S12" s="418"/>
      <c r="T12" s="419">
        <f t="shared" si="3"/>
        <v>0</v>
      </c>
      <c r="U12" s="421">
        <f t="shared" si="4"/>
        <v>0</v>
      </c>
      <c r="V12" s="418"/>
      <c r="W12" s="419">
        <v>45201600</v>
      </c>
      <c r="X12" s="422"/>
      <c r="Y12" s="422">
        <v>608300</v>
      </c>
      <c r="Z12" s="422">
        <f>0</f>
        <v>0</v>
      </c>
      <c r="AA12" s="422">
        <v>-100</v>
      </c>
      <c r="AB12" s="419">
        <f>+SC!F25</f>
        <v>2017900</v>
      </c>
      <c r="AC12" s="423">
        <f t="shared" si="5"/>
        <v>4.464222505398039E-2</v>
      </c>
      <c r="AD12" s="423"/>
      <c r="AE12" s="419">
        <v>-463800</v>
      </c>
      <c r="AF12" s="419">
        <f>+SC!F37</f>
        <v>120200</v>
      </c>
      <c r="AG12" s="423">
        <f t="shared" si="6"/>
        <v>2.6591979044989556E-3</v>
      </c>
      <c r="AH12" s="419"/>
      <c r="AI12" s="419">
        <f t="shared" si="8"/>
        <v>2138100</v>
      </c>
      <c r="AJ12" s="423">
        <f t="shared" si="9"/>
        <v>4.7301422958479347E-2</v>
      </c>
      <c r="AK12" s="419"/>
      <c r="AL12" s="419">
        <f t="shared" si="7"/>
        <v>47339700</v>
      </c>
      <c r="AN12" s="201"/>
      <c r="AO12" s="88"/>
    </row>
    <row r="13" spans="1:41" s="82" customFormat="1" ht="20.100000000000001" customHeight="1" x14ac:dyDescent="0.25">
      <c r="B13" s="52" t="s">
        <v>253</v>
      </c>
      <c r="E13" s="88">
        <f>19788600+1965100</f>
        <v>21753700</v>
      </c>
      <c r="G13" s="90">
        <v>-1885000</v>
      </c>
      <c r="H13" s="91">
        <f t="shared" si="0"/>
        <v>19868700</v>
      </c>
      <c r="J13" s="90">
        <v>-535500</v>
      </c>
      <c r="K13" s="92"/>
      <c r="L13" s="88">
        <f t="shared" si="1"/>
        <v>-535500</v>
      </c>
      <c r="M13" s="93">
        <f t="shared" si="2"/>
        <v>-2.4616502020345963E-2</v>
      </c>
      <c r="O13" s="90"/>
      <c r="P13" s="92"/>
      <c r="Q13" s="92"/>
      <c r="R13" s="92"/>
      <c r="T13" s="91">
        <f t="shared" si="3"/>
        <v>0</v>
      </c>
      <c r="U13" s="94">
        <f t="shared" si="4"/>
        <v>0</v>
      </c>
      <c r="W13" s="88">
        <v>65137700</v>
      </c>
      <c r="X13" s="198"/>
      <c r="Y13" s="199">
        <v>738700</v>
      </c>
      <c r="Z13" s="199">
        <f>700000+2700+450000</f>
        <v>1152700</v>
      </c>
      <c r="AA13" s="200"/>
      <c r="AB13" s="88">
        <f>+UT!F22</f>
        <v>1973700</v>
      </c>
      <c r="AC13" s="95">
        <f t="shared" si="5"/>
        <v>3.0300425099443178E-2</v>
      </c>
      <c r="AD13" s="95"/>
      <c r="AE13" s="92">
        <v>-145300</v>
      </c>
      <c r="AF13" s="88">
        <f>+UT!F33</f>
        <v>492200</v>
      </c>
      <c r="AG13" s="95">
        <f t="shared" si="6"/>
        <v>7.5562999614662476E-3</v>
      </c>
      <c r="AH13" s="88"/>
      <c r="AI13" s="88">
        <f t="shared" si="8"/>
        <v>2465900</v>
      </c>
      <c r="AJ13" s="95">
        <f t="shared" si="9"/>
        <v>3.7856725060909424E-2</v>
      </c>
      <c r="AK13" s="88"/>
      <c r="AL13" s="88">
        <f t="shared" si="7"/>
        <v>67603600</v>
      </c>
      <c r="AN13" s="201"/>
      <c r="AO13" s="88"/>
    </row>
    <row r="14" spans="1:41" s="82" customFormat="1" ht="20.100000000000001" customHeight="1" x14ac:dyDescent="0.25">
      <c r="B14" s="417" t="s">
        <v>91</v>
      </c>
      <c r="C14" s="418"/>
      <c r="D14" s="418"/>
      <c r="E14" s="419">
        <f>46408400+16021200</f>
        <v>62429600</v>
      </c>
      <c r="F14" s="418"/>
      <c r="G14" s="419">
        <v>-5444100</v>
      </c>
      <c r="H14" s="419">
        <f t="shared" si="0"/>
        <v>56985500</v>
      </c>
      <c r="I14" s="418"/>
      <c r="J14" s="419">
        <v>-2117000</v>
      </c>
      <c r="K14" s="419"/>
      <c r="L14" s="419">
        <f t="shared" si="1"/>
        <v>-2117000</v>
      </c>
      <c r="M14" s="420">
        <f t="shared" si="2"/>
        <v>-3.3910196445275959E-2</v>
      </c>
      <c r="N14" s="418"/>
      <c r="O14" s="419"/>
      <c r="P14" s="419"/>
      <c r="Q14" s="419"/>
      <c r="R14" s="419"/>
      <c r="S14" s="418"/>
      <c r="T14" s="419">
        <f t="shared" si="3"/>
        <v>0</v>
      </c>
      <c r="U14" s="421">
        <f t="shared" si="4"/>
        <v>0</v>
      </c>
      <c r="V14" s="418"/>
      <c r="W14" s="419">
        <v>185213900</v>
      </c>
      <c r="X14" s="422"/>
      <c r="Y14" s="422">
        <v>2835000</v>
      </c>
      <c r="Z14" s="422">
        <f>2000000+11800</f>
        <v>2011800</v>
      </c>
      <c r="AA14" s="422"/>
      <c r="AB14" s="419">
        <f>+UVU!F21</f>
        <v>6120500</v>
      </c>
      <c r="AC14" s="423">
        <f t="shared" si="5"/>
        <v>3.3045575952992727E-2</v>
      </c>
      <c r="AD14" s="423"/>
      <c r="AE14" s="419">
        <v>-127000</v>
      </c>
      <c r="AF14" s="419">
        <f>+UVU!F35</f>
        <v>4331100</v>
      </c>
      <c r="AG14" s="423">
        <f t="shared" si="6"/>
        <v>2.3384314028266778E-2</v>
      </c>
      <c r="AH14" s="419"/>
      <c r="AI14" s="419">
        <f t="shared" si="8"/>
        <v>10451600</v>
      </c>
      <c r="AJ14" s="423">
        <f t="shared" si="9"/>
        <v>5.6429889981259508E-2</v>
      </c>
      <c r="AK14" s="419"/>
      <c r="AL14" s="419">
        <f t="shared" si="7"/>
        <v>195665500</v>
      </c>
      <c r="AN14" s="201"/>
      <c r="AO14" s="88"/>
    </row>
    <row r="15" spans="1:41" s="82" customFormat="1" ht="20.100000000000001" customHeight="1" x14ac:dyDescent="0.25">
      <c r="B15" s="52" t="s">
        <v>33</v>
      </c>
      <c r="E15" s="88">
        <f>60200100+6084300</f>
        <v>66284400</v>
      </c>
      <c r="G15" s="88">
        <v>-5606200</v>
      </c>
      <c r="H15" s="88">
        <f t="shared" si="0"/>
        <v>60678200</v>
      </c>
      <c r="J15" s="88">
        <v>-1883000</v>
      </c>
      <c r="K15" s="88"/>
      <c r="L15" s="88">
        <f t="shared" si="1"/>
        <v>-1883000</v>
      </c>
      <c r="M15" s="93">
        <f t="shared" si="2"/>
        <v>-2.8407890846111603E-2</v>
      </c>
      <c r="O15" s="88"/>
      <c r="P15" s="88"/>
      <c r="Q15" s="88"/>
      <c r="R15" s="88"/>
      <c r="T15" s="88">
        <f t="shared" si="3"/>
        <v>0</v>
      </c>
      <c r="U15" s="94">
        <f t="shared" si="4"/>
        <v>0</v>
      </c>
      <c r="W15" s="88">
        <v>142218100</v>
      </c>
      <c r="X15" s="198"/>
      <c r="Y15" s="198">
        <v>2519900</v>
      </c>
      <c r="Z15" s="198">
        <v>898700</v>
      </c>
      <c r="AA15" s="198"/>
      <c r="AB15" s="88">
        <f>+SLCC!F26</f>
        <v>4591800</v>
      </c>
      <c r="AC15" s="95">
        <f t="shared" si="5"/>
        <v>3.2287029569372676E-2</v>
      </c>
      <c r="AD15" s="95"/>
      <c r="AE15" s="88">
        <v>-84300</v>
      </c>
      <c r="AF15" s="88">
        <f>+SLCC!F37</f>
        <v>746200</v>
      </c>
      <c r="AG15" s="95">
        <f t="shared" si="6"/>
        <v>5.2468708272716338E-3</v>
      </c>
      <c r="AH15" s="88"/>
      <c r="AI15" s="88">
        <f t="shared" si="8"/>
        <v>5338000</v>
      </c>
      <c r="AJ15" s="95">
        <f t="shared" si="9"/>
        <v>3.753390039664431E-2</v>
      </c>
      <c r="AK15" s="88"/>
      <c r="AL15" s="88">
        <f t="shared" si="7"/>
        <v>147556100</v>
      </c>
      <c r="AN15" s="201"/>
      <c r="AO15" s="88"/>
    </row>
    <row r="16" spans="1:41" s="82" customFormat="1" ht="20.100000000000001" customHeight="1" x14ac:dyDescent="0.25">
      <c r="B16" s="417" t="s">
        <v>186</v>
      </c>
      <c r="C16" s="418"/>
      <c r="D16" s="418"/>
      <c r="E16" s="419">
        <f>60200100+6084300</f>
        <v>66284400</v>
      </c>
      <c r="F16" s="418"/>
      <c r="G16" s="419">
        <v>-5606200</v>
      </c>
      <c r="H16" s="419">
        <f t="shared" ref="H16:H24" si="10">+E16+G16</f>
        <v>60678200</v>
      </c>
      <c r="I16" s="418"/>
      <c r="J16" s="419">
        <v>-1883000</v>
      </c>
      <c r="K16" s="419"/>
      <c r="L16" s="419">
        <f t="shared" ref="L16" si="11">SUM(J16:K16)</f>
        <v>-1883000</v>
      </c>
      <c r="M16" s="420">
        <f t="shared" ref="M16:M24" si="12">L16/$E16</f>
        <v>-2.8407890846111603E-2</v>
      </c>
      <c r="N16" s="418"/>
      <c r="O16" s="419"/>
      <c r="P16" s="419"/>
      <c r="Q16" s="419"/>
      <c r="R16" s="419"/>
      <c r="S16" s="418"/>
      <c r="T16" s="419">
        <f t="shared" ref="T16:T24" si="13">SUM(O16:R16)</f>
        <v>0</v>
      </c>
      <c r="U16" s="421">
        <f t="shared" ref="U16:U24" si="14">T16/$E16</f>
        <v>0</v>
      </c>
      <c r="V16" s="418"/>
      <c r="W16" s="419">
        <v>22959700</v>
      </c>
      <c r="X16" s="422"/>
      <c r="Y16" s="422">
        <v>2519900</v>
      </c>
      <c r="Z16" s="422">
        <v>898700</v>
      </c>
      <c r="AA16" s="422"/>
      <c r="AB16" s="419">
        <f>+BTC!F20</f>
        <v>968900</v>
      </c>
      <c r="AC16" s="423">
        <f t="shared" ref="AC16:AC24" si="15">+AB16/$W16</f>
        <v>4.2200028746020198E-2</v>
      </c>
      <c r="AD16" s="423"/>
      <c r="AE16" s="419">
        <v>-84300</v>
      </c>
      <c r="AF16" s="419">
        <f>+BTC!F30</f>
        <v>-8300</v>
      </c>
      <c r="AG16" s="423">
        <f t="shared" ref="AG16:AG24" si="16">+AF16/$W16</f>
        <v>-3.6150298131073139E-4</v>
      </c>
      <c r="AH16" s="419"/>
      <c r="AI16" s="419">
        <f t="shared" ref="AI16:AI17" si="17">+AF16+AB16</f>
        <v>960600</v>
      </c>
      <c r="AJ16" s="423">
        <f t="shared" ref="AJ16:AJ17" si="18">+AI16/$W16</f>
        <v>4.1838525764709471E-2</v>
      </c>
      <c r="AK16" s="419"/>
      <c r="AL16" s="419">
        <f t="shared" ref="AL16:AL24" si="19">+AI16+W16</f>
        <v>23920300</v>
      </c>
      <c r="AN16" s="201"/>
      <c r="AO16" s="88"/>
    </row>
    <row r="17" spans="1:41" s="82" customFormat="1" ht="20.100000000000001" customHeight="1" x14ac:dyDescent="0.25">
      <c r="B17" s="52" t="s">
        <v>187</v>
      </c>
      <c r="E17" s="88">
        <f>23271600+2000000</f>
        <v>25271600</v>
      </c>
      <c r="G17" s="88">
        <v>-4816200</v>
      </c>
      <c r="H17" s="88">
        <f t="shared" si="10"/>
        <v>20455400</v>
      </c>
      <c r="J17" s="88">
        <f>800000+500000</f>
        <v>1300000</v>
      </c>
      <c r="K17" s="88"/>
      <c r="L17" s="88">
        <f>SUM(J17:K17)</f>
        <v>1300000</v>
      </c>
      <c r="M17" s="93">
        <f t="shared" si="12"/>
        <v>5.1441143417907849E-2</v>
      </c>
      <c r="O17" s="88"/>
      <c r="P17" s="88"/>
      <c r="Q17" s="88"/>
      <c r="R17" s="88"/>
      <c r="T17" s="88">
        <f t="shared" si="13"/>
        <v>0</v>
      </c>
      <c r="U17" s="94">
        <f t="shared" si="14"/>
        <v>0</v>
      </c>
      <c r="W17" s="88">
        <v>27136000</v>
      </c>
      <c r="X17" s="198"/>
      <c r="Y17" s="198"/>
      <c r="Z17" s="198">
        <f>2300000+150000</f>
        <v>2450000</v>
      </c>
      <c r="AA17" s="198"/>
      <c r="AB17" s="88">
        <f>+DTC!F22</f>
        <v>1795900</v>
      </c>
      <c r="AC17" s="95">
        <f t="shared" si="15"/>
        <v>6.6181456367924524E-2</v>
      </c>
      <c r="AD17" s="95"/>
      <c r="AE17" s="88">
        <f>500000+1000000+815000+250000+150000</f>
        <v>2715000</v>
      </c>
      <c r="AF17" s="88">
        <f>+DTC!F33</f>
        <v>271800</v>
      </c>
      <c r="AG17" s="95">
        <f t="shared" si="16"/>
        <v>1.001621462264151E-2</v>
      </c>
      <c r="AH17" s="88"/>
      <c r="AI17" s="88">
        <f t="shared" si="17"/>
        <v>2067700</v>
      </c>
      <c r="AJ17" s="95">
        <f t="shared" si="18"/>
        <v>7.6197670990566041E-2</v>
      </c>
      <c r="AK17" s="88"/>
      <c r="AL17" s="88">
        <f t="shared" si="19"/>
        <v>29203700</v>
      </c>
      <c r="AN17" s="201"/>
      <c r="AO17" s="88"/>
    </row>
    <row r="18" spans="1:41" s="82" customFormat="1" ht="20.100000000000001" customHeight="1" x14ac:dyDescent="0.25">
      <c r="B18" s="417" t="s">
        <v>188</v>
      </c>
      <c r="C18" s="418"/>
      <c r="D18" s="418"/>
      <c r="E18" s="424">
        <f>218451900+21786300</f>
        <v>240238200</v>
      </c>
      <c r="F18" s="418"/>
      <c r="G18" s="419">
        <v>-18756300</v>
      </c>
      <c r="H18" s="424">
        <f t="shared" si="10"/>
        <v>221481900</v>
      </c>
      <c r="I18" s="418"/>
      <c r="J18" s="419">
        <v>-7069900</v>
      </c>
      <c r="K18" s="419"/>
      <c r="L18" s="419">
        <f t="shared" ref="L18:L24" si="20">SUM(J18:K18)</f>
        <v>-7069900</v>
      </c>
      <c r="M18" s="425">
        <f t="shared" si="12"/>
        <v>-2.9428708673308407E-2</v>
      </c>
      <c r="N18" s="418"/>
      <c r="O18" s="419"/>
      <c r="P18" s="419"/>
      <c r="Q18" s="419"/>
      <c r="R18" s="419"/>
      <c r="S18" s="418"/>
      <c r="T18" s="424">
        <f t="shared" si="13"/>
        <v>0</v>
      </c>
      <c r="U18" s="421">
        <f t="shared" si="14"/>
        <v>0</v>
      </c>
      <c r="V18" s="418"/>
      <c r="W18" s="419">
        <v>13032600</v>
      </c>
      <c r="X18" s="422"/>
      <c r="Y18" s="422">
        <f>8483900-6700+3400</f>
        <v>8480600</v>
      </c>
      <c r="Z18" s="422">
        <f>647200+1125000-250000</f>
        <v>1522200</v>
      </c>
      <c r="AA18" s="422">
        <v>-56000</v>
      </c>
      <c r="AB18" s="419">
        <f>+DXTC!F21</f>
        <v>1627600</v>
      </c>
      <c r="AC18" s="423">
        <f t="shared" si="15"/>
        <v>0.12488682227644522</v>
      </c>
      <c r="AD18" s="423"/>
      <c r="AE18" s="419">
        <v>-1468500</v>
      </c>
      <c r="AF18" s="419">
        <f>+DXTC!F33</f>
        <v>257800</v>
      </c>
      <c r="AG18" s="423">
        <f t="shared" si="16"/>
        <v>1.9781164157574083E-2</v>
      </c>
      <c r="AH18" s="419"/>
      <c r="AI18" s="419">
        <f>+AF18+AB18</f>
        <v>1885400</v>
      </c>
      <c r="AJ18" s="423">
        <f>+AI18/$W18</f>
        <v>0.14466798643401932</v>
      </c>
      <c r="AK18" s="419"/>
      <c r="AL18" s="419">
        <f t="shared" si="19"/>
        <v>14918000</v>
      </c>
      <c r="AN18" s="201"/>
      <c r="AO18" s="88"/>
    </row>
    <row r="19" spans="1:41" s="82" customFormat="1" ht="20.100000000000001" customHeight="1" x14ac:dyDescent="0.25">
      <c r="B19" s="52" t="s">
        <v>189</v>
      </c>
      <c r="E19" s="88">
        <f>134722200+13377600</f>
        <v>148099800</v>
      </c>
      <c r="G19" s="88">
        <v>-12915300</v>
      </c>
      <c r="H19" s="88">
        <f t="shared" si="10"/>
        <v>135184500</v>
      </c>
      <c r="J19" s="88">
        <v>-4200500</v>
      </c>
      <c r="K19" s="88"/>
      <c r="L19" s="88">
        <f t="shared" si="20"/>
        <v>-4200500</v>
      </c>
      <c r="M19" s="93">
        <f t="shared" si="12"/>
        <v>-2.8362631144674064E-2</v>
      </c>
      <c r="O19" s="88"/>
      <c r="P19" s="88"/>
      <c r="Q19" s="88"/>
      <c r="R19" s="88"/>
      <c r="T19" s="88">
        <f t="shared" si="13"/>
        <v>0</v>
      </c>
      <c r="U19" s="94">
        <f t="shared" si="14"/>
        <v>0</v>
      </c>
      <c r="W19" s="88">
        <v>29243100</v>
      </c>
      <c r="X19" s="198"/>
      <c r="Y19" s="198">
        <v>5918900</v>
      </c>
      <c r="Z19" s="198">
        <f>90400+13900</f>
        <v>104300</v>
      </c>
      <c r="AA19" s="198"/>
      <c r="AB19" s="88">
        <f>+MTC!F22</f>
        <v>3944200</v>
      </c>
      <c r="AC19" s="95">
        <f t="shared" si="15"/>
        <v>0.13487626140867418</v>
      </c>
      <c r="AD19" s="95"/>
      <c r="AE19" s="88">
        <v>-265100</v>
      </c>
      <c r="AF19" s="88">
        <f>+MTC!F32</f>
        <v>-1368800</v>
      </c>
      <c r="AG19" s="95">
        <f t="shared" si="16"/>
        <v>-4.6807622994826131E-2</v>
      </c>
      <c r="AH19" s="88"/>
      <c r="AI19" s="88">
        <f t="shared" ref="AI19:AI24" si="21">+AF19+AB19</f>
        <v>2575400</v>
      </c>
      <c r="AJ19" s="95">
        <f t="shared" ref="AJ19:AJ24" si="22">+AI19/$W19</f>
        <v>8.8068638413848058E-2</v>
      </c>
      <c r="AK19" s="88"/>
      <c r="AL19" s="88">
        <f t="shared" si="19"/>
        <v>31818500</v>
      </c>
      <c r="AN19" s="201"/>
      <c r="AO19" s="88"/>
    </row>
    <row r="20" spans="1:41" s="82" customFormat="1" ht="20.100000000000001" customHeight="1" x14ac:dyDescent="0.25">
      <c r="B20" s="417" t="s">
        <v>190</v>
      </c>
      <c r="C20" s="418"/>
      <c r="D20" s="418"/>
      <c r="E20" s="419">
        <f>59927900+5954100</f>
        <v>65882000</v>
      </c>
      <c r="F20" s="418"/>
      <c r="G20" s="419">
        <v>-5740200</v>
      </c>
      <c r="H20" s="419">
        <f t="shared" si="10"/>
        <v>60141800</v>
      </c>
      <c r="I20" s="418"/>
      <c r="J20" s="419">
        <v>-1953300</v>
      </c>
      <c r="K20" s="419"/>
      <c r="L20" s="419">
        <f t="shared" si="20"/>
        <v>-1953300</v>
      </c>
      <c r="M20" s="420">
        <f t="shared" si="12"/>
        <v>-2.9648462402477156E-2</v>
      </c>
      <c r="N20" s="418"/>
      <c r="O20" s="419"/>
      <c r="P20" s="419"/>
      <c r="Q20" s="419"/>
      <c r="R20" s="419"/>
      <c r="S20" s="418"/>
      <c r="T20" s="419">
        <f t="shared" si="13"/>
        <v>0</v>
      </c>
      <c r="U20" s="421">
        <f t="shared" si="14"/>
        <v>0</v>
      </c>
      <c r="V20" s="418"/>
      <c r="W20" s="419">
        <v>24149500</v>
      </c>
      <c r="X20" s="422"/>
      <c r="Y20" s="422">
        <v>2685300</v>
      </c>
      <c r="Z20" s="422">
        <v>971600</v>
      </c>
      <c r="AA20" s="422">
        <v>0</v>
      </c>
      <c r="AB20" s="419">
        <f>+OWTC!F21</f>
        <v>2612600</v>
      </c>
      <c r="AC20" s="423">
        <f t="shared" si="15"/>
        <v>0.10818443446034079</v>
      </c>
      <c r="AD20" s="423"/>
      <c r="AE20" s="419">
        <v>-189300</v>
      </c>
      <c r="AF20" s="419">
        <f>+OWTC!F31</f>
        <v>-510800</v>
      </c>
      <c r="AG20" s="423">
        <f t="shared" si="16"/>
        <v>-2.1151576637197456E-2</v>
      </c>
      <c r="AH20" s="419"/>
      <c r="AI20" s="419">
        <f t="shared" si="21"/>
        <v>2101800</v>
      </c>
      <c r="AJ20" s="423">
        <f t="shared" si="22"/>
        <v>8.7032857823143336E-2</v>
      </c>
      <c r="AK20" s="419"/>
      <c r="AL20" s="419">
        <f t="shared" si="19"/>
        <v>26251300</v>
      </c>
      <c r="AN20" s="201"/>
      <c r="AO20" s="88"/>
    </row>
    <row r="21" spans="1:41" s="82" customFormat="1" ht="20.100000000000001" customHeight="1" x14ac:dyDescent="0.25">
      <c r="B21" s="52" t="s">
        <v>191</v>
      </c>
      <c r="E21" s="88">
        <f>28468300+2825800</f>
        <v>31294100</v>
      </c>
      <c r="G21" s="88">
        <v>-2429500</v>
      </c>
      <c r="H21" s="88">
        <f t="shared" si="10"/>
        <v>28864600</v>
      </c>
      <c r="J21" s="88">
        <v>-890400</v>
      </c>
      <c r="K21" s="88"/>
      <c r="L21" s="88">
        <f t="shared" si="20"/>
        <v>-890400</v>
      </c>
      <c r="M21" s="93">
        <f t="shared" si="12"/>
        <v>-2.8452647623673472E-2</v>
      </c>
      <c r="O21" s="88"/>
      <c r="P21" s="88"/>
      <c r="Q21" s="88"/>
      <c r="R21" s="88"/>
      <c r="T21" s="88">
        <f t="shared" si="13"/>
        <v>0</v>
      </c>
      <c r="U21" s="94">
        <f t="shared" si="14"/>
        <v>0</v>
      </c>
      <c r="W21" s="88">
        <v>9028700</v>
      </c>
      <c r="X21" s="198"/>
      <c r="Y21" s="198">
        <v>1193700</v>
      </c>
      <c r="Z21" s="198">
        <v>6500</v>
      </c>
      <c r="AA21" s="198">
        <v>-1400</v>
      </c>
      <c r="AB21" s="88">
        <f>+SWTC!F21</f>
        <v>1366300</v>
      </c>
      <c r="AC21" s="95">
        <f t="shared" si="15"/>
        <v>0.15132854120748279</v>
      </c>
      <c r="AD21" s="95"/>
      <c r="AE21" s="88">
        <v>-50300</v>
      </c>
      <c r="AF21" s="88">
        <f>+SWTC!F30</f>
        <v>44500</v>
      </c>
      <c r="AG21" s="95">
        <f t="shared" si="16"/>
        <v>4.9287272807823938E-3</v>
      </c>
      <c r="AH21" s="88"/>
      <c r="AI21" s="88">
        <f t="shared" si="21"/>
        <v>1410800</v>
      </c>
      <c r="AJ21" s="95">
        <f t="shared" si="22"/>
        <v>0.15625726848826521</v>
      </c>
      <c r="AK21" s="88"/>
      <c r="AL21" s="88">
        <f t="shared" si="19"/>
        <v>10439500</v>
      </c>
      <c r="AN21" s="201"/>
      <c r="AO21" s="88"/>
    </row>
    <row r="22" spans="1:41" s="82" customFormat="1" ht="20.100000000000001" customHeight="1" x14ac:dyDescent="0.25">
      <c r="B22" s="417" t="s">
        <v>192</v>
      </c>
      <c r="C22" s="418"/>
      <c r="D22" s="418"/>
      <c r="E22" s="419">
        <f>18628300+1869000</f>
        <v>20497300</v>
      </c>
      <c r="F22" s="418"/>
      <c r="G22" s="419">
        <v>-1466100</v>
      </c>
      <c r="H22" s="419">
        <f t="shared" si="10"/>
        <v>19031200</v>
      </c>
      <c r="I22" s="418"/>
      <c r="J22" s="419">
        <v>-431400</v>
      </c>
      <c r="K22" s="419"/>
      <c r="L22" s="419">
        <f t="shared" si="20"/>
        <v>-431400</v>
      </c>
      <c r="M22" s="420">
        <f t="shared" si="12"/>
        <v>-2.1046674440048201E-2</v>
      </c>
      <c r="N22" s="418"/>
      <c r="O22" s="419"/>
      <c r="P22" s="419"/>
      <c r="Q22" s="419"/>
      <c r="R22" s="419"/>
      <c r="S22" s="418"/>
      <c r="T22" s="419">
        <f t="shared" si="13"/>
        <v>0</v>
      </c>
      <c r="U22" s="421">
        <f t="shared" si="14"/>
        <v>0</v>
      </c>
      <c r="V22" s="418"/>
      <c r="W22" s="419">
        <v>8965100</v>
      </c>
      <c r="X22" s="422"/>
      <c r="Y22" s="422">
        <v>608300</v>
      </c>
      <c r="Z22" s="422">
        <f>0</f>
        <v>0</v>
      </c>
      <c r="AA22" s="422">
        <v>-100</v>
      </c>
      <c r="AB22" s="419">
        <f>+TTC!F20</f>
        <v>295200</v>
      </c>
      <c r="AC22" s="423">
        <f t="shared" si="15"/>
        <v>3.2927686250013945E-2</v>
      </c>
      <c r="AD22" s="423"/>
      <c r="AE22" s="419">
        <v>-463800</v>
      </c>
      <c r="AF22" s="419">
        <f>+TTC!F30</f>
        <v>-254200</v>
      </c>
      <c r="AG22" s="423">
        <f t="shared" si="16"/>
        <v>-2.8354396493067563E-2</v>
      </c>
      <c r="AH22" s="419"/>
      <c r="AI22" s="419">
        <f t="shared" si="21"/>
        <v>41000</v>
      </c>
      <c r="AJ22" s="423">
        <f t="shared" si="22"/>
        <v>4.5732897569463809E-3</v>
      </c>
      <c r="AK22" s="419"/>
      <c r="AL22" s="419">
        <f t="shared" si="19"/>
        <v>9006100</v>
      </c>
      <c r="AN22" s="201"/>
      <c r="AO22" s="88"/>
    </row>
    <row r="23" spans="1:41" s="82" customFormat="1" ht="20.100000000000001" customHeight="1" x14ac:dyDescent="0.25">
      <c r="B23" s="52" t="s">
        <v>193</v>
      </c>
      <c r="E23" s="88">
        <f>19788600+1965100</f>
        <v>21753700</v>
      </c>
      <c r="G23" s="88">
        <v>-1885000</v>
      </c>
      <c r="H23" s="88">
        <f t="shared" si="10"/>
        <v>19868700</v>
      </c>
      <c r="J23" s="88">
        <v>-535500</v>
      </c>
      <c r="K23" s="88"/>
      <c r="L23" s="88">
        <f t="shared" si="20"/>
        <v>-535500</v>
      </c>
      <c r="M23" s="93">
        <f t="shared" si="12"/>
        <v>-2.4616502020345963E-2</v>
      </c>
      <c r="O23" s="88"/>
      <c r="P23" s="88"/>
      <c r="Q23" s="88"/>
      <c r="R23" s="88"/>
      <c r="T23" s="88">
        <f t="shared" si="13"/>
        <v>0</v>
      </c>
      <c r="U23" s="94">
        <f t="shared" si="14"/>
        <v>0</v>
      </c>
      <c r="W23" s="88">
        <v>13343200</v>
      </c>
      <c r="X23" s="198"/>
      <c r="Y23" s="198">
        <v>738700</v>
      </c>
      <c r="Z23" s="198">
        <f>700000+2700+450000</f>
        <v>1152700</v>
      </c>
      <c r="AA23" s="198"/>
      <c r="AB23" s="88">
        <f>+UBTC!F20</f>
        <v>521200</v>
      </c>
      <c r="AC23" s="95">
        <f t="shared" si="15"/>
        <v>3.9061094789855505E-2</v>
      </c>
      <c r="AD23" s="95"/>
      <c r="AE23" s="88">
        <v>-145300</v>
      </c>
      <c r="AF23" s="88">
        <f>+UBTC!F29</f>
        <v>66100</v>
      </c>
      <c r="AG23" s="95">
        <f t="shared" si="16"/>
        <v>4.9538341627195876E-3</v>
      </c>
      <c r="AH23" s="88"/>
      <c r="AI23" s="88">
        <f t="shared" si="21"/>
        <v>587300</v>
      </c>
      <c r="AJ23" s="95">
        <f t="shared" si="22"/>
        <v>4.4014928952575097E-2</v>
      </c>
      <c r="AK23" s="88"/>
      <c r="AL23" s="88">
        <f t="shared" si="19"/>
        <v>13930500</v>
      </c>
      <c r="AN23" s="201"/>
      <c r="AO23" s="88"/>
    </row>
    <row r="24" spans="1:41" s="82" customFormat="1" ht="20.100000000000001" customHeight="1" x14ac:dyDescent="0.25">
      <c r="B24" s="417" t="s">
        <v>267</v>
      </c>
      <c r="C24" s="418"/>
      <c r="D24" s="418"/>
      <c r="E24" s="419">
        <f>46408400+16021200</f>
        <v>62429600</v>
      </c>
      <c r="F24" s="418"/>
      <c r="G24" s="419">
        <v>-5444100</v>
      </c>
      <c r="H24" s="419">
        <f t="shared" si="10"/>
        <v>56985500</v>
      </c>
      <c r="I24" s="418"/>
      <c r="J24" s="419">
        <v>-2117000</v>
      </c>
      <c r="K24" s="419"/>
      <c r="L24" s="419">
        <f t="shared" si="20"/>
        <v>-2117000</v>
      </c>
      <c r="M24" s="420">
        <f t="shared" si="12"/>
        <v>-3.3910196445275959E-2</v>
      </c>
      <c r="N24" s="418"/>
      <c r="O24" s="419"/>
      <c r="P24" s="419"/>
      <c r="Q24" s="419"/>
      <c r="R24" s="419"/>
      <c r="S24" s="418"/>
      <c r="T24" s="419">
        <f t="shared" si="13"/>
        <v>0</v>
      </c>
      <c r="U24" s="421">
        <f t="shared" si="14"/>
        <v>0</v>
      </c>
      <c r="V24" s="418"/>
      <c r="W24" s="419">
        <v>137465500</v>
      </c>
      <c r="X24" s="422"/>
      <c r="Y24" s="422">
        <v>2835000</v>
      </c>
      <c r="Z24" s="422">
        <f>2000000+11800</f>
        <v>2011800</v>
      </c>
      <c r="AA24" s="422"/>
      <c r="AB24" s="419">
        <f>+UBHE!F28</f>
        <v>13391300</v>
      </c>
      <c r="AC24" s="423">
        <f t="shared" si="15"/>
        <v>9.741571521581778E-2</v>
      </c>
      <c r="AD24" s="423"/>
      <c r="AE24" s="419">
        <v>-127000</v>
      </c>
      <c r="AF24" s="419">
        <f>+UBHE!F46</f>
        <v>31023900</v>
      </c>
      <c r="AG24" s="423">
        <f t="shared" si="16"/>
        <v>0.22568499005204942</v>
      </c>
      <c r="AH24" s="419"/>
      <c r="AI24" s="419">
        <f t="shared" si="21"/>
        <v>44415200</v>
      </c>
      <c r="AJ24" s="423">
        <f t="shared" si="22"/>
        <v>0.32310070526786722</v>
      </c>
      <c r="AK24" s="419"/>
      <c r="AL24" s="419">
        <f t="shared" si="19"/>
        <v>181880700</v>
      </c>
      <c r="AN24" s="201"/>
      <c r="AO24" s="88"/>
    </row>
    <row r="25" spans="1:41" s="82" customFormat="1" ht="6" customHeight="1" x14ac:dyDescent="0.25">
      <c r="B25" s="52"/>
      <c r="G25" s="101"/>
      <c r="H25" s="102"/>
      <c r="J25" s="101"/>
      <c r="K25" s="103"/>
      <c r="O25" s="101"/>
      <c r="P25" s="103"/>
      <c r="Q25" s="103"/>
      <c r="R25" s="103"/>
      <c r="T25" s="102"/>
      <c r="U25" s="111"/>
      <c r="Y25" s="103"/>
      <c r="Z25" s="103"/>
      <c r="AA25" s="101"/>
      <c r="AE25" s="103"/>
      <c r="AN25" s="201"/>
    </row>
    <row r="26" spans="1:41" s="82" customFormat="1" ht="15.75" x14ac:dyDescent="0.25">
      <c r="B26" s="110" t="s">
        <v>266</v>
      </c>
      <c r="E26" s="89">
        <f>SUM(E8:E25)</f>
        <v>1338229800</v>
      </c>
      <c r="G26" s="90">
        <f>SUM(G8:G25)</f>
        <v>-113301600</v>
      </c>
      <c r="H26" s="112">
        <f>SUM(H8:H25)</f>
        <v>1224928200</v>
      </c>
      <c r="J26" s="90">
        <f>SUM(J8:J25)</f>
        <v>-36862000</v>
      </c>
      <c r="K26" s="92">
        <f>SUM(K8:K25)</f>
        <v>0</v>
      </c>
      <c r="L26" s="88">
        <f>SUM(L8:L25)</f>
        <v>-36862000</v>
      </c>
      <c r="M26" s="93">
        <f>L26/$E26</f>
        <v>-2.7545343856488623E-2</v>
      </c>
      <c r="O26" s="90">
        <f>SUM(O8:O25)</f>
        <v>0</v>
      </c>
      <c r="P26" s="92">
        <f>SUM(P8:P25)</f>
        <v>0</v>
      </c>
      <c r="Q26" s="92">
        <f>SUM(Q8:Q25)</f>
        <v>0</v>
      </c>
      <c r="R26" s="92">
        <f>SUM(R8:R25)</f>
        <v>0</v>
      </c>
      <c r="T26" s="112">
        <f>SUM(T8:T25)</f>
        <v>0</v>
      </c>
      <c r="U26" s="94">
        <f>T26/$E26</f>
        <v>0</v>
      </c>
      <c r="W26" s="113">
        <f>SUM(W8:W24)</f>
        <v>1731187000</v>
      </c>
      <c r="X26" s="88"/>
      <c r="Y26" s="114">
        <f>SUM(Y8:Y25)</f>
        <v>49960800</v>
      </c>
      <c r="Z26" s="114">
        <f>SUM(Z8:Z25)</f>
        <v>15785600</v>
      </c>
      <c r="AA26" s="115">
        <f>SUM(AA8:AA25)</f>
        <v>-115000</v>
      </c>
      <c r="AB26" s="113">
        <f>SUM(AB8:AB24)</f>
        <v>81595300</v>
      </c>
      <c r="AC26" s="116">
        <f>+AB26/$W26</f>
        <v>4.7132574355052345E-2</v>
      </c>
      <c r="AD26" s="95"/>
      <c r="AE26" s="114">
        <f>SUM(AE8:AE25)</f>
        <v>-2872200</v>
      </c>
      <c r="AF26" s="113">
        <f>SUM(AF8:AF24)</f>
        <v>52839000</v>
      </c>
      <c r="AG26" s="116">
        <f>+AF26/$W26</f>
        <v>3.0521832707847276E-2</v>
      </c>
      <c r="AH26" s="88"/>
      <c r="AI26" s="113">
        <f>SUM(AI8:AI24)</f>
        <v>134434300</v>
      </c>
      <c r="AJ26" s="116">
        <f>+AI26/$W26</f>
        <v>7.7654407062899611E-2</v>
      </c>
      <c r="AK26" s="88"/>
      <c r="AL26" s="113">
        <f>SUM(AL8:AL24)</f>
        <v>1865621300</v>
      </c>
      <c r="AN26" s="201"/>
    </row>
    <row r="27" spans="1:41" s="82" customFormat="1" ht="6" customHeight="1" x14ac:dyDescent="0.25">
      <c r="A27" s="110"/>
      <c r="B27" s="52"/>
      <c r="G27" s="101"/>
      <c r="H27" s="102"/>
      <c r="J27" s="101"/>
      <c r="K27" s="103"/>
      <c r="O27" s="101"/>
      <c r="P27" s="103"/>
      <c r="Q27" s="103"/>
      <c r="R27" s="103"/>
      <c r="T27" s="102"/>
      <c r="U27" s="111"/>
      <c r="Y27" s="103"/>
      <c r="Z27" s="103"/>
      <c r="AA27" s="101"/>
      <c r="AE27" s="103"/>
    </row>
    <row r="28" spans="1:41" ht="12.75" x14ac:dyDescent="0.2">
      <c r="A28" s="118"/>
      <c r="B28" s="80" t="s">
        <v>34</v>
      </c>
      <c r="C28" s="119"/>
      <c r="D28" s="119"/>
      <c r="E28" s="119"/>
      <c r="F28" s="119"/>
      <c r="G28" s="120"/>
      <c r="H28" s="121"/>
      <c r="I28" s="119"/>
      <c r="J28" s="120"/>
      <c r="K28" s="122"/>
      <c r="L28" s="119"/>
      <c r="M28" s="119"/>
      <c r="N28" s="119"/>
      <c r="O28" s="120"/>
      <c r="P28" s="122"/>
      <c r="Q28" s="122"/>
      <c r="R28" s="122"/>
      <c r="S28" s="119"/>
      <c r="T28" s="121"/>
      <c r="U28" s="123"/>
      <c r="V28" s="119"/>
      <c r="W28" s="271"/>
      <c r="X28" s="119"/>
      <c r="Y28" s="122"/>
      <c r="Z28" s="122"/>
      <c r="AA28" s="120"/>
      <c r="AB28" s="271"/>
      <c r="AC28" s="119"/>
      <c r="AD28" s="119"/>
      <c r="AE28" s="122"/>
      <c r="AF28" s="119"/>
      <c r="AG28" s="119"/>
      <c r="AH28" s="119"/>
      <c r="AI28" s="428"/>
      <c r="AJ28" s="119"/>
      <c r="AK28" s="119"/>
      <c r="AL28" s="428"/>
    </row>
    <row r="29" spans="1:41" ht="12.75" x14ac:dyDescent="0.2">
      <c r="A29" s="125"/>
      <c r="B29" s="99" t="s">
        <v>316</v>
      </c>
      <c r="E29" s="124"/>
      <c r="F29" s="126"/>
      <c r="G29" s="126"/>
      <c r="H29" s="127"/>
      <c r="I29" s="126"/>
      <c r="J29" s="126"/>
      <c r="K29" s="126"/>
      <c r="L29" s="126"/>
      <c r="M29" s="128"/>
      <c r="N29" s="126"/>
      <c r="O29" s="126"/>
      <c r="P29" s="126"/>
      <c r="Q29" s="126"/>
      <c r="R29" s="126"/>
      <c r="S29" s="126"/>
      <c r="T29" s="127"/>
      <c r="U29" s="129"/>
      <c r="W29" s="124"/>
      <c r="X29" s="126"/>
      <c r="Y29" s="126"/>
      <c r="Z29" s="126"/>
      <c r="AA29" s="126"/>
      <c r="AB29" s="124"/>
      <c r="AC29" s="130"/>
      <c r="AD29" s="130"/>
      <c r="AE29" s="126"/>
      <c r="AF29" s="124"/>
      <c r="AG29" s="130"/>
      <c r="AH29" s="126"/>
      <c r="AI29" s="124"/>
      <c r="AJ29" s="130"/>
      <c r="AK29" s="126"/>
      <c r="AL29" s="124"/>
      <c r="AM29" s="126"/>
    </row>
    <row r="30" spans="1:41" ht="12.75" x14ac:dyDescent="0.2">
      <c r="A30" s="125"/>
      <c r="E30" s="124"/>
      <c r="F30" s="126"/>
      <c r="G30" s="126"/>
      <c r="H30" s="127"/>
      <c r="I30" s="126"/>
      <c r="J30" s="126"/>
      <c r="K30" s="126"/>
      <c r="L30" s="126"/>
      <c r="M30" s="128"/>
      <c r="N30" s="126"/>
      <c r="O30" s="126"/>
      <c r="P30" s="126"/>
      <c r="Q30" s="126"/>
      <c r="R30" s="126"/>
      <c r="S30" s="126"/>
      <c r="T30" s="127"/>
      <c r="U30" s="129"/>
      <c r="W30" s="124"/>
      <c r="X30" s="126"/>
      <c r="Y30" s="126"/>
      <c r="Z30" s="126"/>
      <c r="AA30" s="126"/>
      <c r="AB30" s="124"/>
      <c r="AC30" s="130"/>
      <c r="AD30" s="130"/>
      <c r="AE30" s="126"/>
      <c r="AF30" s="124"/>
      <c r="AG30" s="130"/>
      <c r="AH30" s="126"/>
      <c r="AI30" s="124"/>
      <c r="AJ30" s="130"/>
      <c r="AK30" s="126"/>
      <c r="AL30" s="124"/>
      <c r="AM30" s="126"/>
    </row>
    <row r="31" spans="1:41" ht="13.5" thickBot="1" x14ac:dyDescent="0.25">
      <c r="A31" s="125"/>
      <c r="E31" s="124"/>
      <c r="F31" s="126"/>
      <c r="G31" s="126"/>
      <c r="H31" s="127"/>
      <c r="I31" s="126"/>
      <c r="J31" s="126"/>
      <c r="K31" s="126"/>
      <c r="L31" s="126"/>
      <c r="M31" s="128"/>
      <c r="N31" s="126"/>
      <c r="O31" s="126"/>
      <c r="P31" s="126"/>
      <c r="Q31" s="126"/>
      <c r="R31" s="126"/>
      <c r="S31" s="126"/>
      <c r="T31" s="127"/>
      <c r="U31" s="129"/>
      <c r="W31" s="124"/>
      <c r="X31" s="126"/>
      <c r="Y31" s="126"/>
      <c r="Z31" s="126"/>
      <c r="AA31" s="126"/>
      <c r="AB31" s="124"/>
      <c r="AC31" s="130"/>
      <c r="AD31" s="130"/>
      <c r="AE31" s="126"/>
      <c r="AF31" s="124"/>
      <c r="AG31" s="130"/>
      <c r="AH31" s="126"/>
      <c r="AJ31" s="130"/>
      <c r="AK31" s="126"/>
      <c r="AL31" s="124"/>
      <c r="AM31" s="126"/>
    </row>
    <row r="32" spans="1:41" ht="16.5" x14ac:dyDescent="0.3">
      <c r="A32" s="125"/>
      <c r="B32" s="146"/>
      <c r="E32" s="124"/>
      <c r="F32" s="126"/>
      <c r="G32" s="126"/>
      <c r="H32" s="127"/>
      <c r="I32" s="126"/>
      <c r="J32" s="478" t="s">
        <v>10</v>
      </c>
      <c r="K32" s="478"/>
      <c r="O32" s="99"/>
      <c r="P32" s="99"/>
      <c r="Q32" s="99"/>
      <c r="R32" s="99"/>
      <c r="T32" s="99"/>
      <c r="Y32" s="478" t="s">
        <v>10</v>
      </c>
      <c r="Z32" s="478"/>
      <c r="AA32" s="478"/>
      <c r="AB32" s="124"/>
      <c r="AE32" s="100"/>
      <c r="AF32" s="124"/>
      <c r="AG32" s="130"/>
      <c r="AH32" s="126"/>
      <c r="AI32" s="124"/>
      <c r="AJ32" s="130"/>
      <c r="AK32" s="126"/>
      <c r="AL32" s="124"/>
      <c r="AM32" s="126"/>
    </row>
    <row r="33" spans="1:39" s="82" customFormat="1" ht="6" customHeight="1" x14ac:dyDescent="0.25">
      <c r="A33" s="110"/>
      <c r="B33" s="52"/>
      <c r="G33" s="101"/>
      <c r="H33" s="102"/>
      <c r="J33" s="101"/>
      <c r="K33" s="103"/>
      <c r="O33" s="101"/>
      <c r="P33" s="103"/>
      <c r="Q33" s="103"/>
      <c r="R33" s="103"/>
      <c r="T33" s="102"/>
      <c r="U33" s="111"/>
      <c r="Y33" s="103"/>
      <c r="Z33" s="103"/>
      <c r="AA33" s="101"/>
      <c r="AB33" s="89"/>
      <c r="AE33" s="103"/>
    </row>
    <row r="34" spans="1:39" s="82" customFormat="1" ht="20.100000000000001" hidden="1" customHeight="1" x14ac:dyDescent="0.25">
      <c r="A34" s="110" t="s">
        <v>35</v>
      </c>
      <c r="B34" s="52"/>
      <c r="G34" s="101"/>
      <c r="H34" s="102"/>
      <c r="J34" s="101"/>
      <c r="K34" s="103"/>
      <c r="O34" s="101"/>
      <c r="P34" s="103"/>
      <c r="Q34" s="103"/>
      <c r="R34" s="103"/>
      <c r="T34" s="102"/>
      <c r="U34" s="111"/>
      <c r="Y34" s="103"/>
      <c r="Z34" s="103"/>
      <c r="AA34" s="101"/>
      <c r="AE34" s="103"/>
    </row>
    <row r="35" spans="1:39" s="82" customFormat="1" ht="20.100000000000001" hidden="1" customHeight="1" x14ac:dyDescent="0.25">
      <c r="A35" s="131"/>
      <c r="B35" s="83" t="s">
        <v>36</v>
      </c>
      <c r="C35" s="83"/>
      <c r="D35" s="83"/>
      <c r="E35" s="84">
        <v>1773400</v>
      </c>
      <c r="F35" s="85"/>
      <c r="G35" s="85"/>
      <c r="H35" s="132">
        <f t="shared" ref="H35:H45" si="23">+E35+G35</f>
        <v>1773400</v>
      </c>
      <c r="I35" s="85"/>
      <c r="J35" s="85"/>
      <c r="K35" s="85"/>
      <c r="L35" s="85">
        <f t="shared" ref="L35:L45" si="24">SUM(J35:K35)</f>
        <v>0</v>
      </c>
      <c r="M35" s="96">
        <f t="shared" ref="M35:M45" si="25">L35/$E35</f>
        <v>0</v>
      </c>
      <c r="N35" s="85"/>
      <c r="O35" s="85">
        <v>0</v>
      </c>
      <c r="P35" s="85"/>
      <c r="Q35" s="85">
        <v>110500</v>
      </c>
      <c r="R35" s="85">
        <v>-700000</v>
      </c>
      <c r="S35" s="85"/>
      <c r="T35" s="132">
        <f t="shared" ref="T35:T45" si="26">SUM(O35:R35)</f>
        <v>-589500</v>
      </c>
      <c r="U35" s="86">
        <f t="shared" ref="U35:U45" si="27">T35/$E35</f>
        <v>-0.33241231532649146</v>
      </c>
      <c r="V35" s="83"/>
      <c r="W35" s="84">
        <f t="shared" ref="W35:W45" si="28">+T35+H35</f>
        <v>1183900</v>
      </c>
      <c r="X35" s="85"/>
      <c r="Y35" s="85">
        <v>37100</v>
      </c>
      <c r="Z35" s="85"/>
      <c r="AA35" s="85"/>
      <c r="AB35" s="84">
        <f>+W35+X35+Y35</f>
        <v>1221000</v>
      </c>
      <c r="AC35" s="87">
        <f t="shared" ref="AC35:AC45" si="29">+AB35/$W35</f>
        <v>1.031337106174508</v>
      </c>
      <c r="AD35" s="87"/>
      <c r="AE35" s="85">
        <v>215000</v>
      </c>
      <c r="AF35" s="84">
        <f t="shared" ref="AF35:AF45" si="30">+AE35</f>
        <v>215000</v>
      </c>
      <c r="AG35" s="87">
        <f t="shared" ref="AG35:AG45" si="31">+AF35/$W35</f>
        <v>0.18160317594391417</v>
      </c>
      <c r="AH35" s="85"/>
      <c r="AI35" s="84" t="e">
        <f>+AF35+#REF!</f>
        <v>#REF!</v>
      </c>
      <c r="AJ35" s="87" t="e">
        <f t="shared" ref="AJ35:AJ45" si="32">+AI35/$W35</f>
        <v>#REF!</v>
      </c>
      <c r="AK35" s="85"/>
      <c r="AL35" s="84" t="e">
        <f t="shared" ref="AL35:AL45" si="33">+AI35+W35</f>
        <v>#REF!</v>
      </c>
      <c r="AM35" s="88"/>
    </row>
    <row r="36" spans="1:39" s="82" customFormat="1" ht="20.100000000000001" hidden="1" customHeight="1" x14ac:dyDescent="0.25">
      <c r="A36" s="131"/>
      <c r="B36" s="82" t="s">
        <v>37</v>
      </c>
      <c r="E36" s="89">
        <v>3608100</v>
      </c>
      <c r="F36" s="88"/>
      <c r="G36" s="90"/>
      <c r="H36" s="91">
        <f t="shared" si="23"/>
        <v>3608100</v>
      </c>
      <c r="I36" s="88"/>
      <c r="J36" s="90"/>
      <c r="K36" s="92"/>
      <c r="L36" s="88">
        <f t="shared" si="24"/>
        <v>0</v>
      </c>
      <c r="M36" s="93">
        <f t="shared" si="25"/>
        <v>0</v>
      </c>
      <c r="N36" s="88"/>
      <c r="O36" s="90">
        <v>0</v>
      </c>
      <c r="P36" s="92"/>
      <c r="Q36" s="92"/>
      <c r="R36" s="92"/>
      <c r="S36" s="88"/>
      <c r="T36" s="91">
        <f t="shared" si="26"/>
        <v>0</v>
      </c>
      <c r="U36" s="94">
        <f t="shared" si="27"/>
        <v>0</v>
      </c>
      <c r="W36" s="88">
        <f t="shared" si="28"/>
        <v>3608100</v>
      </c>
      <c r="X36" s="88"/>
      <c r="Y36" s="92"/>
      <c r="Z36" s="92"/>
      <c r="AA36" s="90"/>
      <c r="AB36" s="88">
        <f t="shared" ref="AB36:AB45" si="34">+W36+X36+Y36</f>
        <v>3608100</v>
      </c>
      <c r="AC36" s="95">
        <f t="shared" si="29"/>
        <v>1</v>
      </c>
      <c r="AD36" s="95"/>
      <c r="AE36" s="92">
        <v>900000</v>
      </c>
      <c r="AF36" s="88">
        <f t="shared" si="30"/>
        <v>900000</v>
      </c>
      <c r="AG36" s="95">
        <f t="shared" si="31"/>
        <v>0.24943876278373658</v>
      </c>
      <c r="AH36" s="88"/>
      <c r="AI36" s="88" t="e">
        <f>+AF36+#REF!</f>
        <v>#REF!</v>
      </c>
      <c r="AJ36" s="95" t="e">
        <f t="shared" si="32"/>
        <v>#REF!</v>
      </c>
      <c r="AK36" s="88"/>
      <c r="AL36" s="88" t="e">
        <f t="shared" si="33"/>
        <v>#REF!</v>
      </c>
      <c r="AM36" s="88"/>
    </row>
    <row r="37" spans="1:39" s="82" customFormat="1" ht="20.100000000000001" hidden="1" customHeight="1" x14ac:dyDescent="0.25">
      <c r="A37" s="131"/>
      <c r="B37" s="83" t="s">
        <v>38</v>
      </c>
      <c r="C37" s="83"/>
      <c r="D37" s="83"/>
      <c r="E37" s="84">
        <v>2262400</v>
      </c>
      <c r="F37" s="85"/>
      <c r="G37" s="85">
        <v>-1460500</v>
      </c>
      <c r="H37" s="85">
        <f t="shared" si="23"/>
        <v>801900</v>
      </c>
      <c r="I37" s="85"/>
      <c r="J37" s="85"/>
      <c r="K37" s="85">
        <v>500000</v>
      </c>
      <c r="L37" s="85">
        <f t="shared" si="24"/>
        <v>500000</v>
      </c>
      <c r="M37" s="96">
        <f t="shared" si="25"/>
        <v>0.221004243281471</v>
      </c>
      <c r="N37" s="85"/>
      <c r="O37" s="85">
        <v>0</v>
      </c>
      <c r="P37" s="85"/>
      <c r="Q37" s="85"/>
      <c r="R37" s="85"/>
      <c r="S37" s="85"/>
      <c r="T37" s="85">
        <f t="shared" si="26"/>
        <v>0</v>
      </c>
      <c r="U37" s="86">
        <f t="shared" si="27"/>
        <v>0</v>
      </c>
      <c r="V37" s="83"/>
      <c r="W37" s="85">
        <f t="shared" si="28"/>
        <v>801900</v>
      </c>
      <c r="X37" s="85"/>
      <c r="Y37" s="85"/>
      <c r="Z37" s="85"/>
      <c r="AA37" s="85"/>
      <c r="AB37" s="85">
        <f t="shared" si="34"/>
        <v>801900</v>
      </c>
      <c r="AC37" s="87">
        <f t="shared" si="29"/>
        <v>1</v>
      </c>
      <c r="AD37" s="87"/>
      <c r="AE37" s="85"/>
      <c r="AF37" s="85">
        <f t="shared" si="30"/>
        <v>0</v>
      </c>
      <c r="AG37" s="87">
        <f t="shared" si="31"/>
        <v>0</v>
      </c>
      <c r="AH37" s="85"/>
      <c r="AI37" s="85" t="e">
        <f>+AF37+#REF!</f>
        <v>#REF!</v>
      </c>
      <c r="AJ37" s="87" t="e">
        <f t="shared" si="32"/>
        <v>#REF!</v>
      </c>
      <c r="AK37" s="85"/>
      <c r="AL37" s="85" t="e">
        <f t="shared" si="33"/>
        <v>#REF!</v>
      </c>
      <c r="AM37" s="88"/>
    </row>
    <row r="38" spans="1:39" s="82" customFormat="1" ht="20.100000000000001" hidden="1" customHeight="1" x14ac:dyDescent="0.25">
      <c r="A38" s="131"/>
      <c r="B38" s="82" t="s">
        <v>39</v>
      </c>
      <c r="E38" s="89">
        <v>9650300</v>
      </c>
      <c r="F38" s="88"/>
      <c r="G38" s="90">
        <v>0</v>
      </c>
      <c r="H38" s="91">
        <f t="shared" si="23"/>
        <v>9650300</v>
      </c>
      <c r="I38" s="88"/>
      <c r="J38" s="90"/>
      <c r="K38" s="92"/>
      <c r="L38" s="88">
        <f t="shared" si="24"/>
        <v>0</v>
      </c>
      <c r="M38" s="93">
        <f t="shared" si="25"/>
        <v>0</v>
      </c>
      <c r="N38" s="88"/>
      <c r="O38" s="90">
        <v>0</v>
      </c>
      <c r="P38" s="92"/>
      <c r="Q38" s="92"/>
      <c r="R38" s="92">
        <v>76400</v>
      </c>
      <c r="S38" s="88"/>
      <c r="T38" s="91">
        <f t="shared" si="26"/>
        <v>76400</v>
      </c>
      <c r="U38" s="94">
        <f t="shared" si="27"/>
        <v>7.9168523258344309E-3</v>
      </c>
      <c r="W38" s="88">
        <f t="shared" si="28"/>
        <v>9726700</v>
      </c>
      <c r="X38" s="88"/>
      <c r="Y38" s="92">
        <v>369100</v>
      </c>
      <c r="Z38" s="92">
        <v>52600</v>
      </c>
      <c r="AA38" s="90"/>
      <c r="AB38" s="88">
        <f t="shared" si="34"/>
        <v>10095800</v>
      </c>
      <c r="AC38" s="95">
        <f t="shared" si="29"/>
        <v>1.0379470940812403</v>
      </c>
      <c r="AD38" s="95"/>
      <c r="AE38" s="92">
        <v>134100</v>
      </c>
      <c r="AF38" s="88">
        <f t="shared" si="30"/>
        <v>134100</v>
      </c>
      <c r="AG38" s="95">
        <f t="shared" si="31"/>
        <v>1.3786793054170479E-2</v>
      </c>
      <c r="AH38" s="88"/>
      <c r="AI38" s="88" t="e">
        <f>+AF38+#REF!</f>
        <v>#REF!</v>
      </c>
      <c r="AJ38" s="95" t="e">
        <f t="shared" si="32"/>
        <v>#REF!</v>
      </c>
      <c r="AK38" s="88"/>
      <c r="AL38" s="88" t="e">
        <f t="shared" si="33"/>
        <v>#REF!</v>
      </c>
      <c r="AM38" s="88"/>
    </row>
    <row r="39" spans="1:39" s="82" customFormat="1" ht="20.100000000000001" hidden="1" customHeight="1" x14ac:dyDescent="0.25">
      <c r="A39" s="131"/>
      <c r="B39" s="83" t="s">
        <v>40</v>
      </c>
      <c r="C39" s="83"/>
      <c r="D39" s="83"/>
      <c r="E39" s="84">
        <v>9765300</v>
      </c>
      <c r="F39" s="85"/>
      <c r="G39" s="85">
        <v>422200</v>
      </c>
      <c r="H39" s="85">
        <f t="shared" si="23"/>
        <v>10187500</v>
      </c>
      <c r="I39" s="85"/>
      <c r="J39" s="85"/>
      <c r="K39" s="85"/>
      <c r="L39" s="85">
        <f t="shared" si="24"/>
        <v>0</v>
      </c>
      <c r="M39" s="96">
        <f t="shared" si="25"/>
        <v>0</v>
      </c>
      <c r="N39" s="85"/>
      <c r="O39" s="85">
        <v>0</v>
      </c>
      <c r="P39" s="85"/>
      <c r="Q39" s="85"/>
      <c r="R39" s="85">
        <v>72100</v>
      </c>
      <c r="S39" s="85"/>
      <c r="T39" s="85">
        <f t="shared" si="26"/>
        <v>72100</v>
      </c>
      <c r="U39" s="86">
        <f t="shared" si="27"/>
        <v>7.3832857157486199E-3</v>
      </c>
      <c r="V39" s="83"/>
      <c r="W39" s="85">
        <f t="shared" si="28"/>
        <v>10259600</v>
      </c>
      <c r="X39" s="85"/>
      <c r="Y39" s="85">
        <v>350200</v>
      </c>
      <c r="Z39" s="85">
        <v>100</v>
      </c>
      <c r="AA39" s="85"/>
      <c r="AB39" s="85">
        <f t="shared" si="34"/>
        <v>10609800</v>
      </c>
      <c r="AC39" s="87">
        <f t="shared" si="29"/>
        <v>1.0341338843619634</v>
      </c>
      <c r="AD39" s="87"/>
      <c r="AE39" s="85">
        <v>-112200</v>
      </c>
      <c r="AF39" s="85">
        <f t="shared" si="30"/>
        <v>-112200</v>
      </c>
      <c r="AG39" s="87">
        <f t="shared" si="31"/>
        <v>-1.093609887325042E-2</v>
      </c>
      <c r="AH39" s="85"/>
      <c r="AI39" s="85" t="e">
        <f>+AF39+#REF!</f>
        <v>#REF!</v>
      </c>
      <c r="AJ39" s="87" t="e">
        <f t="shared" si="32"/>
        <v>#REF!</v>
      </c>
      <c r="AK39" s="85"/>
      <c r="AL39" s="85" t="e">
        <f t="shared" si="33"/>
        <v>#REF!</v>
      </c>
      <c r="AM39" s="88"/>
    </row>
    <row r="40" spans="1:39" s="82" customFormat="1" ht="20.100000000000001" hidden="1" customHeight="1" x14ac:dyDescent="0.25">
      <c r="A40" s="131"/>
      <c r="B40" s="82" t="s">
        <v>41</v>
      </c>
      <c r="E40" s="89">
        <v>1802900</v>
      </c>
      <c r="F40" s="88"/>
      <c r="G40" s="90">
        <v>0</v>
      </c>
      <c r="H40" s="91">
        <f t="shared" si="23"/>
        <v>1802900</v>
      </c>
      <c r="I40" s="88"/>
      <c r="J40" s="90"/>
      <c r="K40" s="92"/>
      <c r="L40" s="88">
        <f t="shared" si="24"/>
        <v>0</v>
      </c>
      <c r="M40" s="93">
        <f t="shared" si="25"/>
        <v>0</v>
      </c>
      <c r="N40" s="88"/>
      <c r="O40" s="90">
        <v>0</v>
      </c>
      <c r="P40" s="92"/>
      <c r="Q40" s="92"/>
      <c r="R40" s="92">
        <v>99800</v>
      </c>
      <c r="S40" s="88"/>
      <c r="T40" s="91">
        <f t="shared" si="26"/>
        <v>99800</v>
      </c>
      <c r="U40" s="94">
        <f t="shared" si="27"/>
        <v>5.5355260968439735E-2</v>
      </c>
      <c r="W40" s="88">
        <f t="shared" si="28"/>
        <v>1902700</v>
      </c>
      <c r="X40" s="88"/>
      <c r="Y40" s="92">
        <v>62900</v>
      </c>
      <c r="Z40" s="92">
        <v>377100</v>
      </c>
      <c r="AA40" s="90"/>
      <c r="AB40" s="88">
        <f t="shared" si="34"/>
        <v>1965600</v>
      </c>
      <c r="AC40" s="95">
        <f t="shared" si="29"/>
        <v>1.0330582855941557</v>
      </c>
      <c r="AD40" s="95"/>
      <c r="AE40" s="92">
        <v>112400</v>
      </c>
      <c r="AF40" s="88">
        <f t="shared" si="30"/>
        <v>112400</v>
      </c>
      <c r="AG40" s="95">
        <f t="shared" si="31"/>
        <v>5.9073947548220949E-2</v>
      </c>
      <c r="AH40" s="88"/>
      <c r="AI40" s="88" t="e">
        <f>+AF40+#REF!</f>
        <v>#REF!</v>
      </c>
      <c r="AJ40" s="95" t="e">
        <f t="shared" si="32"/>
        <v>#REF!</v>
      </c>
      <c r="AK40" s="88"/>
      <c r="AL40" s="88" t="e">
        <f t="shared" si="33"/>
        <v>#REF!</v>
      </c>
      <c r="AM40" s="88"/>
    </row>
    <row r="41" spans="1:39" s="82" customFormat="1" ht="20.100000000000001" hidden="1" customHeight="1" x14ac:dyDescent="0.25">
      <c r="A41" s="131"/>
      <c r="B41" s="83" t="s">
        <v>42</v>
      </c>
      <c r="C41" s="83"/>
      <c r="D41" s="83"/>
      <c r="E41" s="84">
        <v>4804100</v>
      </c>
      <c r="F41" s="85"/>
      <c r="G41" s="85">
        <v>0</v>
      </c>
      <c r="H41" s="85">
        <f t="shared" si="23"/>
        <v>4804100</v>
      </c>
      <c r="I41" s="85"/>
      <c r="J41" s="85"/>
      <c r="K41" s="85"/>
      <c r="L41" s="85">
        <f t="shared" si="24"/>
        <v>0</v>
      </c>
      <c r="M41" s="96">
        <f t="shared" si="25"/>
        <v>0</v>
      </c>
      <c r="N41" s="85"/>
      <c r="O41" s="85">
        <v>0</v>
      </c>
      <c r="P41" s="85"/>
      <c r="Q41" s="85"/>
      <c r="R41" s="85">
        <v>161000</v>
      </c>
      <c r="S41" s="85"/>
      <c r="T41" s="85">
        <f t="shared" si="26"/>
        <v>161000</v>
      </c>
      <c r="U41" s="86">
        <f t="shared" si="27"/>
        <v>3.3513040944193502E-2</v>
      </c>
      <c r="V41" s="83"/>
      <c r="W41" s="85">
        <f t="shared" si="28"/>
        <v>4965100</v>
      </c>
      <c r="X41" s="85"/>
      <c r="Y41" s="85">
        <v>178800</v>
      </c>
      <c r="Z41" s="85">
        <v>66200</v>
      </c>
      <c r="AA41" s="85"/>
      <c r="AB41" s="85">
        <f t="shared" si="34"/>
        <v>5143900</v>
      </c>
      <c r="AC41" s="87">
        <f t="shared" si="29"/>
        <v>1.0360113592878291</v>
      </c>
      <c r="AD41" s="87"/>
      <c r="AE41" s="85">
        <v>134100</v>
      </c>
      <c r="AF41" s="85">
        <f t="shared" si="30"/>
        <v>134100</v>
      </c>
      <c r="AG41" s="87">
        <f t="shared" si="31"/>
        <v>2.7008519465871784E-2</v>
      </c>
      <c r="AH41" s="85"/>
      <c r="AI41" s="85" t="e">
        <f>+AF41+#REF!</f>
        <v>#REF!</v>
      </c>
      <c r="AJ41" s="87" t="e">
        <f t="shared" si="32"/>
        <v>#REF!</v>
      </c>
      <c r="AK41" s="85"/>
      <c r="AL41" s="85" t="e">
        <f t="shared" si="33"/>
        <v>#REF!</v>
      </c>
      <c r="AM41" s="88"/>
    </row>
    <row r="42" spans="1:39" s="82" customFormat="1" ht="20.100000000000001" hidden="1" customHeight="1" x14ac:dyDescent="0.25">
      <c r="A42" s="131"/>
      <c r="B42" s="82" t="s">
        <v>43</v>
      </c>
      <c r="E42" s="89">
        <v>11127000</v>
      </c>
      <c r="F42" s="88"/>
      <c r="G42" s="90">
        <v>0</v>
      </c>
      <c r="H42" s="91">
        <f t="shared" si="23"/>
        <v>11127000</v>
      </c>
      <c r="I42" s="88"/>
      <c r="J42" s="90"/>
      <c r="K42" s="92"/>
      <c r="L42" s="88">
        <f t="shared" si="24"/>
        <v>0</v>
      </c>
      <c r="M42" s="93">
        <f t="shared" si="25"/>
        <v>0</v>
      </c>
      <c r="N42" s="88"/>
      <c r="O42" s="90">
        <v>0</v>
      </c>
      <c r="P42" s="92"/>
      <c r="Q42" s="92"/>
      <c r="R42" s="92"/>
      <c r="S42" s="88"/>
      <c r="T42" s="91">
        <f t="shared" si="26"/>
        <v>0</v>
      </c>
      <c r="U42" s="94">
        <f t="shared" si="27"/>
        <v>0</v>
      </c>
      <c r="W42" s="88">
        <f t="shared" si="28"/>
        <v>11127000</v>
      </c>
      <c r="X42" s="88"/>
      <c r="Y42" s="92">
        <v>352000</v>
      </c>
      <c r="Z42" s="92"/>
      <c r="AA42" s="90">
        <v>-100</v>
      </c>
      <c r="AB42" s="88">
        <f t="shared" si="34"/>
        <v>11479000</v>
      </c>
      <c r="AC42" s="95">
        <f t="shared" si="29"/>
        <v>1.0316347622899253</v>
      </c>
      <c r="AD42" s="95"/>
      <c r="AE42" s="92">
        <v>133900</v>
      </c>
      <c r="AF42" s="88">
        <f t="shared" si="30"/>
        <v>133900</v>
      </c>
      <c r="AG42" s="95">
        <f t="shared" si="31"/>
        <v>1.2033791677900602E-2</v>
      </c>
      <c r="AH42" s="88"/>
      <c r="AI42" s="88" t="e">
        <f>+AF42+#REF!</f>
        <v>#REF!</v>
      </c>
      <c r="AJ42" s="95" t="e">
        <f t="shared" si="32"/>
        <v>#REF!</v>
      </c>
      <c r="AK42" s="88"/>
      <c r="AL42" s="88" t="e">
        <f t="shared" si="33"/>
        <v>#REF!</v>
      </c>
      <c r="AM42" s="88"/>
    </row>
    <row r="43" spans="1:39" s="82" customFormat="1" ht="20.100000000000001" hidden="1" customHeight="1" x14ac:dyDescent="0.25">
      <c r="A43" s="131"/>
      <c r="B43" s="83" t="s">
        <v>44</v>
      </c>
      <c r="C43" s="83"/>
      <c r="D43" s="83"/>
      <c r="E43" s="84">
        <v>3096500</v>
      </c>
      <c r="F43" s="85"/>
      <c r="G43" s="85">
        <v>0</v>
      </c>
      <c r="H43" s="85">
        <f t="shared" si="23"/>
        <v>3096500</v>
      </c>
      <c r="I43" s="85"/>
      <c r="J43" s="85"/>
      <c r="K43" s="85"/>
      <c r="L43" s="85">
        <f t="shared" si="24"/>
        <v>0</v>
      </c>
      <c r="M43" s="96">
        <f t="shared" si="25"/>
        <v>0</v>
      </c>
      <c r="N43" s="85"/>
      <c r="O43" s="85">
        <v>0</v>
      </c>
      <c r="P43" s="85"/>
      <c r="Q43" s="85"/>
      <c r="R43" s="85">
        <v>141500</v>
      </c>
      <c r="S43" s="85"/>
      <c r="T43" s="85">
        <f t="shared" si="26"/>
        <v>141500</v>
      </c>
      <c r="U43" s="86">
        <f t="shared" si="27"/>
        <v>4.5696754400129179E-2</v>
      </c>
      <c r="V43" s="83"/>
      <c r="W43" s="85">
        <f t="shared" si="28"/>
        <v>3238000</v>
      </c>
      <c r="X43" s="85"/>
      <c r="Y43" s="85">
        <v>103600</v>
      </c>
      <c r="Z43" s="85">
        <v>98000</v>
      </c>
      <c r="AA43" s="85"/>
      <c r="AB43" s="85">
        <f t="shared" si="34"/>
        <v>3341600</v>
      </c>
      <c r="AC43" s="87">
        <f t="shared" si="29"/>
        <v>1.0319950586781965</v>
      </c>
      <c r="AD43" s="87"/>
      <c r="AE43" s="85">
        <v>117700</v>
      </c>
      <c r="AF43" s="85">
        <f t="shared" si="30"/>
        <v>117700</v>
      </c>
      <c r="AG43" s="87">
        <f t="shared" si="31"/>
        <v>3.6349598517603457E-2</v>
      </c>
      <c r="AH43" s="85"/>
      <c r="AI43" s="85" t="e">
        <f>+AF43+#REF!</f>
        <v>#REF!</v>
      </c>
      <c r="AJ43" s="87" t="e">
        <f t="shared" si="32"/>
        <v>#REF!</v>
      </c>
      <c r="AK43" s="85"/>
      <c r="AL43" s="85" t="e">
        <f t="shared" si="33"/>
        <v>#REF!</v>
      </c>
      <c r="AM43" s="88"/>
    </row>
    <row r="44" spans="1:39" s="82" customFormat="1" ht="20.100000000000001" hidden="1" customHeight="1" x14ac:dyDescent="0.25">
      <c r="A44" s="131"/>
      <c r="B44" s="82" t="s">
        <v>45</v>
      </c>
      <c r="E44" s="89">
        <v>2222400</v>
      </c>
      <c r="F44" s="88"/>
      <c r="G44" s="90">
        <v>0</v>
      </c>
      <c r="H44" s="91">
        <f t="shared" si="23"/>
        <v>2222400</v>
      </c>
      <c r="I44" s="88"/>
      <c r="J44" s="90"/>
      <c r="K44" s="92"/>
      <c r="L44" s="88">
        <f t="shared" si="24"/>
        <v>0</v>
      </c>
      <c r="M44" s="93">
        <f t="shared" si="25"/>
        <v>0</v>
      </c>
      <c r="N44" s="88"/>
      <c r="O44" s="90">
        <v>0</v>
      </c>
      <c r="P44" s="92"/>
      <c r="Q44" s="92"/>
      <c r="R44" s="92">
        <v>38900</v>
      </c>
      <c r="S44" s="88"/>
      <c r="T44" s="91">
        <f t="shared" si="26"/>
        <v>38900</v>
      </c>
      <c r="U44" s="94">
        <f t="shared" si="27"/>
        <v>1.7503599712023039E-2</v>
      </c>
      <c r="W44" s="88">
        <f t="shared" si="28"/>
        <v>2261300</v>
      </c>
      <c r="X44" s="88"/>
      <c r="Y44" s="92">
        <v>59700</v>
      </c>
      <c r="Z44" s="92">
        <f>256100-200</f>
        <v>255900</v>
      </c>
      <c r="AA44" s="90"/>
      <c r="AB44" s="88">
        <f t="shared" si="34"/>
        <v>2321000</v>
      </c>
      <c r="AC44" s="95">
        <f t="shared" si="29"/>
        <v>1.0264007429354796</v>
      </c>
      <c r="AD44" s="95"/>
      <c r="AE44" s="92">
        <v>116000</v>
      </c>
      <c r="AF44" s="88">
        <f t="shared" si="30"/>
        <v>116000</v>
      </c>
      <c r="AG44" s="95">
        <f t="shared" si="31"/>
        <v>5.1297925971786139E-2</v>
      </c>
      <c r="AH44" s="88"/>
      <c r="AI44" s="88" t="e">
        <f>+AF44+#REF!</f>
        <v>#REF!</v>
      </c>
      <c r="AJ44" s="95" t="e">
        <f t="shared" si="32"/>
        <v>#REF!</v>
      </c>
      <c r="AK44" s="88"/>
      <c r="AL44" s="88" t="e">
        <f t="shared" si="33"/>
        <v>#REF!</v>
      </c>
      <c r="AM44" s="88"/>
    </row>
    <row r="45" spans="1:39" s="82" customFormat="1" ht="20.100000000000001" hidden="1" customHeight="1" x14ac:dyDescent="0.25">
      <c r="A45" s="131"/>
      <c r="B45" s="83" t="s">
        <v>46</v>
      </c>
      <c r="C45" s="83"/>
      <c r="D45" s="83"/>
      <c r="E45" s="84">
        <v>4900500</v>
      </c>
      <c r="F45" s="85"/>
      <c r="G45" s="85">
        <v>393200</v>
      </c>
      <c r="H45" s="85">
        <f t="shared" si="23"/>
        <v>5293700</v>
      </c>
      <c r="I45" s="85"/>
      <c r="J45" s="85"/>
      <c r="K45" s="85"/>
      <c r="L45" s="85">
        <f t="shared" si="24"/>
        <v>0</v>
      </c>
      <c r="M45" s="96">
        <f t="shared" si="25"/>
        <v>0</v>
      </c>
      <c r="N45" s="85"/>
      <c r="O45" s="85">
        <v>0</v>
      </c>
      <c r="P45" s="85"/>
      <c r="Q45" s="85"/>
      <c r="R45" s="85">
        <v>110300</v>
      </c>
      <c r="S45" s="85"/>
      <c r="T45" s="85">
        <f t="shared" si="26"/>
        <v>110300</v>
      </c>
      <c r="U45" s="86">
        <f t="shared" si="27"/>
        <v>2.2507907356392205E-2</v>
      </c>
      <c r="V45" s="83"/>
      <c r="W45" s="85">
        <f t="shared" si="28"/>
        <v>5404000</v>
      </c>
      <c r="X45" s="85"/>
      <c r="Y45" s="85">
        <v>186200</v>
      </c>
      <c r="Z45" s="85"/>
      <c r="AA45" s="85"/>
      <c r="AB45" s="85">
        <f t="shared" si="34"/>
        <v>5590200</v>
      </c>
      <c r="AC45" s="87">
        <f t="shared" si="29"/>
        <v>1.0344559585492228</v>
      </c>
      <c r="AD45" s="87"/>
      <c r="AE45" s="85">
        <v>-78900</v>
      </c>
      <c r="AF45" s="85">
        <f t="shared" si="30"/>
        <v>-78900</v>
      </c>
      <c r="AG45" s="87">
        <f t="shared" si="31"/>
        <v>-1.4600296076980015E-2</v>
      </c>
      <c r="AH45" s="85"/>
      <c r="AI45" s="85" t="e">
        <f>+AF45+#REF!</f>
        <v>#REF!</v>
      </c>
      <c r="AJ45" s="87" t="e">
        <f t="shared" si="32"/>
        <v>#REF!</v>
      </c>
      <c r="AK45" s="85"/>
      <c r="AL45" s="85" t="e">
        <f t="shared" si="33"/>
        <v>#REF!</v>
      </c>
      <c r="AM45" s="88"/>
    </row>
    <row r="46" spans="1:39" s="82" customFormat="1" ht="6" hidden="1" customHeight="1" x14ac:dyDescent="0.25">
      <c r="A46" s="131"/>
      <c r="E46" s="89"/>
      <c r="F46" s="88"/>
      <c r="G46" s="90"/>
      <c r="H46" s="133"/>
      <c r="I46" s="88"/>
      <c r="J46" s="90"/>
      <c r="K46" s="92"/>
      <c r="L46" s="88"/>
      <c r="M46" s="93"/>
      <c r="N46" s="88"/>
      <c r="O46" s="90"/>
      <c r="P46" s="92"/>
      <c r="Q46" s="92"/>
      <c r="R46" s="92"/>
      <c r="S46" s="88"/>
      <c r="T46" s="133"/>
      <c r="U46" s="94"/>
      <c r="W46" s="89"/>
      <c r="X46" s="88"/>
      <c r="Y46" s="92"/>
      <c r="Z46" s="92"/>
      <c r="AA46" s="90"/>
      <c r="AB46" s="89"/>
      <c r="AC46" s="88"/>
      <c r="AD46" s="88"/>
      <c r="AE46" s="92"/>
      <c r="AF46" s="89"/>
      <c r="AG46" s="88"/>
      <c r="AH46" s="88"/>
      <c r="AI46" s="89"/>
      <c r="AJ46" s="88"/>
      <c r="AK46" s="88"/>
      <c r="AL46" s="89"/>
      <c r="AM46" s="88"/>
    </row>
    <row r="47" spans="1:39" s="134" customFormat="1" ht="20.100000000000001" hidden="1" customHeight="1" thickBot="1" x14ac:dyDescent="0.3">
      <c r="B47" s="135" t="s">
        <v>47</v>
      </c>
      <c r="E47" s="113">
        <f>SUM(E35:E46)</f>
        <v>55012900</v>
      </c>
      <c r="G47" s="115">
        <f>SUM(G35:G46)</f>
        <v>-645100</v>
      </c>
      <c r="H47" s="112">
        <f>SUM(H35:H46)</f>
        <v>54367800</v>
      </c>
      <c r="J47" s="115">
        <f>SUM(J35:J46)</f>
        <v>0</v>
      </c>
      <c r="K47" s="114">
        <f>SUM(K35:K46)</f>
        <v>500000</v>
      </c>
      <c r="L47" s="117">
        <f>SUM(L35:L46)</f>
        <v>500000</v>
      </c>
      <c r="M47" s="136">
        <f>L47/$E47</f>
        <v>9.0887773594920465E-3</v>
      </c>
      <c r="O47" s="115">
        <f>SUM(O35:O46)</f>
        <v>0</v>
      </c>
      <c r="P47" s="114">
        <f>SUM(P35:P46)</f>
        <v>0</v>
      </c>
      <c r="Q47" s="114">
        <f>SUM(Q35:Q46)</f>
        <v>110500</v>
      </c>
      <c r="R47" s="114">
        <f>SUM(R35:R46)</f>
        <v>0</v>
      </c>
      <c r="T47" s="112">
        <f>SUM(T35:T46)</f>
        <v>110500</v>
      </c>
      <c r="U47" s="137">
        <f>T47/$E47</f>
        <v>2.0086197964477421E-3</v>
      </c>
      <c r="W47" s="113">
        <f>SUM(W35:W46)</f>
        <v>54478300</v>
      </c>
      <c r="X47" s="117"/>
      <c r="Y47" s="114">
        <f>SUM(Y35:Y46)</f>
        <v>1699600</v>
      </c>
      <c r="Z47" s="114">
        <f>SUM(Z35:Z46)</f>
        <v>849900</v>
      </c>
      <c r="AA47" s="115">
        <f>SUM(AA35:AA46)</f>
        <v>-100</v>
      </c>
      <c r="AB47" s="113">
        <f>SUM(AB35:AB45)</f>
        <v>56177900</v>
      </c>
      <c r="AC47" s="116">
        <f>+AB47/$W47</f>
        <v>1.0311977429545343</v>
      </c>
      <c r="AD47" s="116"/>
      <c r="AE47" s="114">
        <f>SUM(AE35:AE46)</f>
        <v>1672100</v>
      </c>
      <c r="AF47" s="113">
        <f>SUM(AF35:AF45)</f>
        <v>1672100</v>
      </c>
      <c r="AG47" s="116">
        <f>+AF47/$W47</f>
        <v>3.0692954809529667E-2</v>
      </c>
      <c r="AH47" s="117"/>
      <c r="AI47" s="113" t="e">
        <f>SUM(AI27:AI46)</f>
        <v>#REF!</v>
      </c>
      <c r="AJ47" s="116" t="e">
        <f>+AI47/$W47</f>
        <v>#REF!</v>
      </c>
      <c r="AK47" s="117"/>
      <c r="AL47" s="113" t="e">
        <f>SUM(AL35:AL46)</f>
        <v>#REF!</v>
      </c>
    </row>
    <row r="48" spans="1:39" s="82" customFormat="1" ht="20.100000000000001" hidden="1" customHeight="1" x14ac:dyDescent="0.25">
      <c r="B48" s="110"/>
      <c r="E48" s="89"/>
      <c r="F48" s="89"/>
      <c r="G48" s="89"/>
      <c r="H48" s="89"/>
      <c r="J48" s="478" t="s">
        <v>10</v>
      </c>
      <c r="K48" s="478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478" t="s">
        <v>10</v>
      </c>
      <c r="Z48" s="478"/>
      <c r="AA48" s="478"/>
      <c r="AB48" s="99"/>
      <c r="AC48" s="99"/>
      <c r="AD48" s="99"/>
      <c r="AE48" s="100" t="s">
        <v>10</v>
      </c>
      <c r="AF48" s="124"/>
      <c r="AG48" s="130"/>
      <c r="AH48" s="126"/>
      <c r="AI48" s="124"/>
      <c r="AJ48" s="130"/>
      <c r="AK48" s="126"/>
      <c r="AL48" s="124"/>
    </row>
    <row r="49" spans="1:39" s="82" customFormat="1" ht="6" hidden="1" customHeight="1" x14ac:dyDescent="0.25">
      <c r="A49" s="53"/>
      <c r="E49" s="88"/>
      <c r="F49" s="88"/>
      <c r="G49" s="90"/>
      <c r="H49" s="91"/>
      <c r="I49" s="88"/>
      <c r="J49" s="90"/>
      <c r="K49" s="92"/>
      <c r="L49" s="88"/>
      <c r="N49" s="88"/>
      <c r="O49" s="90"/>
      <c r="P49" s="92"/>
      <c r="Q49" s="92"/>
      <c r="R49" s="92"/>
      <c r="S49" s="88"/>
      <c r="T49" s="91"/>
      <c r="U49" s="111"/>
      <c r="W49" s="88"/>
      <c r="X49" s="88"/>
      <c r="Y49" s="92"/>
      <c r="Z49" s="92"/>
      <c r="AA49" s="90"/>
      <c r="AB49" s="88"/>
      <c r="AC49" s="88"/>
      <c r="AD49" s="88"/>
      <c r="AE49" s="92"/>
      <c r="AF49" s="88"/>
      <c r="AG49" s="88"/>
      <c r="AH49" s="88"/>
      <c r="AI49" s="88"/>
      <c r="AJ49" s="88"/>
      <c r="AK49" s="88"/>
      <c r="AL49" s="88"/>
      <c r="AM49" s="88"/>
    </row>
    <row r="50" spans="1:39" s="82" customFormat="1" ht="20.100000000000001" hidden="1" customHeight="1" x14ac:dyDescent="0.25">
      <c r="A50" s="110" t="s">
        <v>48</v>
      </c>
      <c r="E50" s="88"/>
      <c r="F50" s="88"/>
      <c r="G50" s="90"/>
      <c r="H50" s="91"/>
      <c r="I50" s="88"/>
      <c r="J50" s="90"/>
      <c r="K50" s="92"/>
      <c r="L50" s="88"/>
      <c r="N50" s="88"/>
      <c r="O50" s="90"/>
      <c r="P50" s="92"/>
      <c r="Q50" s="92"/>
      <c r="R50" s="92"/>
      <c r="S50" s="88"/>
      <c r="T50" s="91"/>
      <c r="U50" s="111"/>
      <c r="W50" s="88"/>
      <c r="X50" s="88"/>
      <c r="Y50" s="92"/>
      <c r="Z50" s="92"/>
      <c r="AA50" s="90"/>
      <c r="AB50" s="88"/>
      <c r="AC50" s="88"/>
      <c r="AD50" s="88"/>
      <c r="AE50" s="92"/>
      <c r="AF50" s="88"/>
      <c r="AG50" s="88"/>
      <c r="AH50" s="88"/>
      <c r="AI50" s="88"/>
      <c r="AJ50" s="88"/>
      <c r="AK50" s="88"/>
      <c r="AL50" s="88"/>
      <c r="AM50" s="88"/>
    </row>
    <row r="51" spans="1:39" s="82" customFormat="1" ht="15.75" hidden="1" x14ac:dyDescent="0.25">
      <c r="A51" s="53"/>
      <c r="B51" s="83" t="s">
        <v>49</v>
      </c>
      <c r="C51" s="83"/>
      <c r="D51" s="83"/>
      <c r="E51" s="85">
        <f>18949200</f>
        <v>18949200</v>
      </c>
      <c r="F51" s="85"/>
      <c r="G51" s="85">
        <v>-1540700</v>
      </c>
      <c r="H51" s="84">
        <f>+E51+G51</f>
        <v>17408500</v>
      </c>
      <c r="I51" s="85"/>
      <c r="J51" s="85"/>
      <c r="K51" s="85"/>
      <c r="L51" s="85">
        <f>SUM(J51:K51)</f>
        <v>0</v>
      </c>
      <c r="M51" s="96">
        <f>L51/$E51</f>
        <v>0</v>
      </c>
      <c r="N51" s="85"/>
      <c r="O51" s="85"/>
      <c r="P51" s="85"/>
      <c r="Q51" s="85"/>
      <c r="R51" s="85"/>
      <c r="S51" s="85"/>
      <c r="T51" s="132">
        <f>SUM(O51:R51)</f>
        <v>0</v>
      </c>
      <c r="U51" s="86">
        <f>T51/$E51</f>
        <v>0</v>
      </c>
      <c r="V51" s="83"/>
      <c r="W51" s="84">
        <v>21201900</v>
      </c>
      <c r="X51" s="85"/>
      <c r="Y51" s="85">
        <v>321200</v>
      </c>
      <c r="Z51" s="85">
        <f>900000</f>
        <v>900000</v>
      </c>
      <c r="AA51" s="85">
        <v>-1000</v>
      </c>
      <c r="AB51" s="84">
        <f>-3793400+81800</f>
        <v>-3711600</v>
      </c>
      <c r="AC51" s="87">
        <f>+AB51/$W51</f>
        <v>-0.17505978237799444</v>
      </c>
      <c r="AD51" s="87"/>
      <c r="AE51" s="85">
        <v>1280000</v>
      </c>
      <c r="AF51" s="84">
        <v>0</v>
      </c>
      <c r="AG51" s="87">
        <f>+AF51/$W51</f>
        <v>0</v>
      </c>
      <c r="AH51" s="85"/>
      <c r="AI51" s="84" t="e">
        <f>+AF51+#REF!+AB51</f>
        <v>#REF!</v>
      </c>
      <c r="AJ51" s="87" t="e">
        <f>+AI51/$W51</f>
        <v>#REF!</v>
      </c>
      <c r="AK51" s="85"/>
      <c r="AL51" s="84" t="e">
        <f>+AI51+W51</f>
        <v>#REF!</v>
      </c>
      <c r="AM51" s="88"/>
    </row>
    <row r="52" spans="1:39" s="82" customFormat="1" ht="15.75" hidden="1" x14ac:dyDescent="0.25">
      <c r="A52" s="53"/>
      <c r="B52" s="82" t="s">
        <v>108</v>
      </c>
      <c r="E52" s="88">
        <f>638500</f>
        <v>638500</v>
      </c>
      <c r="F52" s="88"/>
      <c r="G52" s="90">
        <v>-57500</v>
      </c>
      <c r="H52" s="91">
        <f>+E52+G52</f>
        <v>581000</v>
      </c>
      <c r="I52" s="88"/>
      <c r="J52" s="90" t="s">
        <v>115</v>
      </c>
      <c r="K52" s="92"/>
      <c r="L52" s="88">
        <f>SUM(J52:K52)</f>
        <v>0</v>
      </c>
      <c r="M52" s="93">
        <f>L52/$E52</f>
        <v>0</v>
      </c>
      <c r="N52" s="88"/>
      <c r="O52" s="90"/>
      <c r="P52" s="92"/>
      <c r="Q52" s="92"/>
      <c r="R52" s="92"/>
      <c r="S52" s="88"/>
      <c r="T52" s="91">
        <f>SUM(O52:R52)</f>
        <v>0</v>
      </c>
      <c r="U52" s="94">
        <f>T52/$E52</f>
        <v>0</v>
      </c>
      <c r="W52" s="88">
        <v>701500</v>
      </c>
      <c r="X52" s="88"/>
      <c r="Y52" s="92">
        <v>24400</v>
      </c>
      <c r="Z52" s="92">
        <f>220000+4100</f>
        <v>224100</v>
      </c>
      <c r="AA52" s="90"/>
      <c r="AB52" s="88">
        <f>-120500-20000</f>
        <v>-140500</v>
      </c>
      <c r="AC52" s="95">
        <f>+AB52/$W52</f>
        <v>-0.20028510334996436</v>
      </c>
      <c r="AD52" s="95"/>
      <c r="AE52" s="92"/>
      <c r="AF52" s="88">
        <v>0</v>
      </c>
      <c r="AG52" s="95">
        <f>+AF52/$W52</f>
        <v>0</v>
      </c>
      <c r="AH52" s="88"/>
      <c r="AI52" s="89" t="e">
        <f>+AF52+#REF!+AB52</f>
        <v>#REF!</v>
      </c>
      <c r="AJ52" s="95" t="e">
        <f>+AI52/$W52</f>
        <v>#REF!</v>
      </c>
      <c r="AK52" s="88"/>
      <c r="AL52" s="88" t="e">
        <f>+AI52+W52</f>
        <v>#REF!</v>
      </c>
      <c r="AM52" s="88"/>
    </row>
    <row r="53" spans="1:39" s="82" customFormat="1" ht="6" hidden="1" customHeight="1" x14ac:dyDescent="0.25">
      <c r="A53" s="52"/>
      <c r="B53" s="52" t="s">
        <v>109</v>
      </c>
      <c r="G53" s="101"/>
      <c r="H53" s="102"/>
      <c r="J53" s="101" t="s">
        <v>116</v>
      </c>
      <c r="K53" s="103"/>
      <c r="O53" s="101"/>
      <c r="P53" s="103"/>
      <c r="Q53" s="103"/>
      <c r="R53" s="103"/>
      <c r="T53" s="102"/>
      <c r="U53" s="111"/>
      <c r="Y53" s="103"/>
      <c r="Z53" s="103"/>
      <c r="AA53" s="101"/>
      <c r="AE53" s="103"/>
    </row>
    <row r="54" spans="1:39" s="134" customFormat="1" ht="20.100000000000001" hidden="1" customHeight="1" x14ac:dyDescent="0.25">
      <c r="B54" s="135" t="s">
        <v>110</v>
      </c>
      <c r="E54" s="113">
        <f>SUM(E51:E53)</f>
        <v>19587700</v>
      </c>
      <c r="G54" s="115">
        <f>SUM(G51:G53)</f>
        <v>-1598200</v>
      </c>
      <c r="H54" s="112">
        <f>SUM(H51:H53)</f>
        <v>17989500</v>
      </c>
      <c r="J54" s="115" t="s">
        <v>117</v>
      </c>
      <c r="K54" s="114">
        <f>SUM(K51:K53)</f>
        <v>0</v>
      </c>
      <c r="L54" s="117">
        <f>SUM(L51:L53)</f>
        <v>0</v>
      </c>
      <c r="M54" s="136">
        <f>L54/$E54</f>
        <v>0</v>
      </c>
      <c r="O54" s="115">
        <f>SUM(O51:O53)</f>
        <v>0</v>
      </c>
      <c r="P54" s="114">
        <f>SUM(P51:P53)</f>
        <v>0</v>
      </c>
      <c r="Q54" s="114"/>
      <c r="R54" s="114">
        <f>SUM(R51:R53)</f>
        <v>0</v>
      </c>
      <c r="T54" s="112">
        <f>SUM(T51:T53)</f>
        <v>0</v>
      </c>
      <c r="U54" s="137">
        <f>T54/$E54</f>
        <v>0</v>
      </c>
      <c r="W54" s="113">
        <f>SUM(W51:W53)</f>
        <v>21903400</v>
      </c>
      <c r="X54" s="117"/>
      <c r="Y54" s="114">
        <f>SUM(Y51:Y53)</f>
        <v>345600</v>
      </c>
      <c r="Z54" s="114">
        <f>SUM(Z51:Z53)</f>
        <v>1124100</v>
      </c>
      <c r="AA54" s="115">
        <f>SUM(AA51:AA53)</f>
        <v>-1000</v>
      </c>
      <c r="AB54" s="113">
        <f>SUM(AB51:AB53)</f>
        <v>-3852100</v>
      </c>
      <c r="AC54" s="116">
        <f>+AB54/$W54</f>
        <v>-0.17586767351187488</v>
      </c>
      <c r="AD54" s="116"/>
      <c r="AE54" s="114">
        <f>SUM(AE51:AE53)</f>
        <v>1280000</v>
      </c>
      <c r="AF54" s="113">
        <f>SUM(AF51:AF53)</f>
        <v>0</v>
      </c>
      <c r="AG54" s="116">
        <f>+AF54/$W54</f>
        <v>0</v>
      </c>
      <c r="AH54" s="117"/>
      <c r="AI54" s="113" t="e">
        <f>SUM(AI51:AI53)</f>
        <v>#REF!</v>
      </c>
      <c r="AJ54" s="116" t="e">
        <f>+AI54/$W54</f>
        <v>#REF!</v>
      </c>
      <c r="AK54" s="117"/>
      <c r="AL54" s="113" t="e">
        <f>SUM(AL51:AL53)</f>
        <v>#REF!</v>
      </c>
    </row>
    <row r="55" spans="1:39" s="82" customFormat="1" ht="6" hidden="1" customHeight="1" x14ac:dyDescent="0.25">
      <c r="A55" s="52"/>
      <c r="B55" s="52" t="s">
        <v>111</v>
      </c>
      <c r="G55" s="101"/>
      <c r="H55" s="102"/>
      <c r="J55" s="101" t="s">
        <v>118</v>
      </c>
      <c r="K55" s="103"/>
      <c r="O55" s="101"/>
      <c r="P55" s="103"/>
      <c r="Q55" s="103"/>
      <c r="R55" s="103"/>
      <c r="T55" s="102"/>
      <c r="U55" s="111"/>
      <c r="Y55" s="103"/>
      <c r="Z55" s="103"/>
      <c r="AA55" s="101"/>
      <c r="AE55" s="103"/>
    </row>
    <row r="56" spans="1:39" s="138" customFormat="1" ht="20.100000000000001" hidden="1" customHeight="1" thickBot="1" x14ac:dyDescent="0.3">
      <c r="A56" s="81" t="s">
        <v>50</v>
      </c>
      <c r="B56" s="138" t="s">
        <v>112</v>
      </c>
      <c r="E56" s="139">
        <f t="shared" ref="E56:P56" si="35">+E54+E47+E26</f>
        <v>1412830400</v>
      </c>
      <c r="F56" s="138">
        <f t="shared" si="35"/>
        <v>0</v>
      </c>
      <c r="G56" s="140">
        <f t="shared" si="35"/>
        <v>-115544900</v>
      </c>
      <c r="H56" s="141">
        <f t="shared" si="35"/>
        <v>1297285500</v>
      </c>
      <c r="I56" s="138">
        <f t="shared" si="35"/>
        <v>0</v>
      </c>
      <c r="J56" s="140" t="s">
        <v>114</v>
      </c>
      <c r="K56" s="142">
        <f t="shared" si="35"/>
        <v>500000</v>
      </c>
      <c r="L56" s="143">
        <f t="shared" si="35"/>
        <v>-36362000</v>
      </c>
      <c r="M56" s="144">
        <f t="shared" si="35"/>
        <v>-1.8456566496996576E-2</v>
      </c>
      <c r="N56" s="138">
        <f t="shared" si="35"/>
        <v>0</v>
      </c>
      <c r="O56" s="140">
        <f t="shared" si="35"/>
        <v>0</v>
      </c>
      <c r="P56" s="142">
        <f t="shared" si="35"/>
        <v>0</v>
      </c>
      <c r="Q56" s="142"/>
      <c r="R56" s="142">
        <f>+R54+R47+R26</f>
        <v>0</v>
      </c>
      <c r="S56" s="138">
        <f>+S54+S47+S26</f>
        <v>0</v>
      </c>
      <c r="T56" s="141">
        <f>+T54+T47+T26</f>
        <v>110500</v>
      </c>
      <c r="U56" s="145">
        <f>T56/$E56</f>
        <v>7.8211793857210315E-5</v>
      </c>
      <c r="W56" s="139">
        <f>+W26+W54</f>
        <v>1753090400</v>
      </c>
      <c r="X56" s="139">
        <f t="shared" ref="X56:AL56" si="36">+X26+X54</f>
        <v>0</v>
      </c>
      <c r="Y56" s="139">
        <f t="shared" si="36"/>
        <v>50306400</v>
      </c>
      <c r="Z56" s="139">
        <f t="shared" si="36"/>
        <v>16909700</v>
      </c>
      <c r="AA56" s="139">
        <f t="shared" si="36"/>
        <v>-116000</v>
      </c>
      <c r="AB56" s="139">
        <f t="shared" si="36"/>
        <v>77743200</v>
      </c>
      <c r="AC56" s="154">
        <f>+AB56/$W56</f>
        <v>4.4346372554433015E-2</v>
      </c>
      <c r="AD56" s="139">
        <f t="shared" si="36"/>
        <v>0</v>
      </c>
      <c r="AE56" s="139">
        <f t="shared" si="36"/>
        <v>-1592200</v>
      </c>
      <c r="AF56" s="139">
        <f t="shared" si="36"/>
        <v>52839000</v>
      </c>
      <c r="AG56" s="154">
        <f>+AF56/$W56</f>
        <v>3.0140487906385204E-2</v>
      </c>
      <c r="AH56" s="139">
        <f t="shared" si="36"/>
        <v>0</v>
      </c>
      <c r="AI56" s="139" t="e">
        <f t="shared" si="36"/>
        <v>#REF!</v>
      </c>
      <c r="AJ56" s="154" t="e">
        <f>+AI56/$W56</f>
        <v>#REF!</v>
      </c>
      <c r="AK56" s="139">
        <f t="shared" si="36"/>
        <v>0</v>
      </c>
      <c r="AL56" s="139" t="e">
        <f t="shared" si="36"/>
        <v>#REF!</v>
      </c>
    </row>
    <row r="57" spans="1:39" s="146" customFormat="1" ht="15.95" hidden="1" customHeight="1" thickTop="1" x14ac:dyDescent="0.3">
      <c r="B57" s="146" t="s">
        <v>113</v>
      </c>
      <c r="E57" s="147"/>
      <c r="G57" s="148"/>
      <c r="H57" s="149"/>
      <c r="J57" s="148" t="s">
        <v>119</v>
      </c>
      <c r="K57" s="150"/>
      <c r="O57" s="148"/>
      <c r="P57" s="150"/>
      <c r="Q57" s="150"/>
      <c r="R57" s="150"/>
      <c r="T57" s="149"/>
      <c r="X57" s="147"/>
      <c r="Y57" s="150"/>
      <c r="Z57" s="150"/>
      <c r="AA57" s="148"/>
      <c r="AC57" s="147"/>
      <c r="AD57" s="147"/>
      <c r="AE57" s="150"/>
      <c r="AG57" s="147"/>
      <c r="AH57" s="147"/>
      <c r="AJ57" s="147"/>
      <c r="AK57" s="147"/>
    </row>
    <row r="58" spans="1:39" s="82" customFormat="1" ht="20.100000000000001" customHeight="1" x14ac:dyDescent="0.25">
      <c r="AF58" s="201"/>
    </row>
    <row r="59" spans="1:39" s="82" customFormat="1" ht="20.100000000000001" customHeight="1" x14ac:dyDescent="0.25">
      <c r="W59" s="89"/>
      <c r="AB59" s="89"/>
    </row>
    <row r="60" spans="1:39" s="82" customFormat="1" ht="20.100000000000001" customHeight="1" x14ac:dyDescent="0.25"/>
    <row r="61" spans="1:39" s="82" customFormat="1" ht="20.100000000000001" customHeight="1" x14ac:dyDescent="0.25"/>
    <row r="62" spans="1:39" s="82" customFormat="1" ht="20.100000000000001" customHeight="1" x14ac:dyDescent="0.25">
      <c r="AB62" s="89"/>
    </row>
    <row r="63" spans="1:39" s="82" customFormat="1" ht="20.100000000000001" customHeight="1" x14ac:dyDescent="0.25"/>
    <row r="64" spans="1:39" s="82" customFormat="1" ht="20.100000000000001" customHeight="1" x14ac:dyDescent="0.25"/>
    <row r="65" s="82" customFormat="1" ht="20.100000000000001" customHeight="1" x14ac:dyDescent="0.25"/>
    <row r="66" s="82" customFormat="1" ht="20.100000000000001" customHeight="1" x14ac:dyDescent="0.25"/>
    <row r="67" s="82" customFormat="1" ht="20.100000000000001" customHeight="1" x14ac:dyDescent="0.25"/>
    <row r="68" s="82" customFormat="1" ht="20.100000000000001" customHeight="1" x14ac:dyDescent="0.25"/>
    <row r="69" s="82" customFormat="1" ht="20.100000000000001" customHeight="1" x14ac:dyDescent="0.25"/>
    <row r="70" s="82" customFormat="1" ht="20.100000000000001" customHeight="1" x14ac:dyDescent="0.25"/>
    <row r="71" s="82" customFormat="1" ht="20.100000000000001" customHeight="1" x14ac:dyDescent="0.25"/>
    <row r="72" s="82" customFormat="1" ht="20.100000000000001" customHeight="1" x14ac:dyDescent="0.25"/>
    <row r="73" s="82" customFormat="1" ht="20.100000000000001" customHeight="1" x14ac:dyDescent="0.25"/>
    <row r="74" s="82" customFormat="1" ht="20.100000000000001" customHeight="1" x14ac:dyDescent="0.25"/>
    <row r="75" s="82" customFormat="1" ht="20.100000000000001" customHeight="1" x14ac:dyDescent="0.25"/>
    <row r="76" s="82" customFormat="1" ht="20.100000000000001" customHeight="1" x14ac:dyDescent="0.25"/>
    <row r="77" s="82" customFormat="1" ht="20.100000000000001" customHeight="1" x14ac:dyDescent="0.25"/>
    <row r="78" s="82" customFormat="1" ht="20.100000000000001" customHeight="1" x14ac:dyDescent="0.25"/>
    <row r="79" s="82" customFormat="1" ht="20.100000000000001" customHeight="1" x14ac:dyDescent="0.25"/>
    <row r="80" s="82" customFormat="1" ht="20.100000000000001" customHeight="1" x14ac:dyDescent="0.25"/>
    <row r="81" s="82" customFormat="1" ht="20.100000000000001" customHeight="1" x14ac:dyDescent="0.25"/>
    <row r="82" s="82" customFormat="1" ht="20.100000000000001" customHeight="1" x14ac:dyDescent="0.25"/>
    <row r="83" s="82" customFormat="1" ht="20.100000000000001" customHeight="1" x14ac:dyDescent="0.25"/>
    <row r="84" s="82" customFormat="1" ht="20.100000000000001" customHeight="1" x14ac:dyDescent="0.25"/>
    <row r="85" s="82" customFormat="1" ht="20.100000000000001" customHeight="1" x14ac:dyDescent="0.25"/>
    <row r="86" s="82" customFormat="1" ht="20.100000000000001" customHeight="1" x14ac:dyDescent="0.25"/>
    <row r="87" s="82" customFormat="1" ht="20.100000000000001" customHeight="1" x14ac:dyDescent="0.25"/>
    <row r="88" s="82" customFormat="1" ht="20.100000000000001" customHeight="1" x14ac:dyDescent="0.25"/>
    <row r="89" s="82" customFormat="1" ht="20.100000000000001" customHeight="1" x14ac:dyDescent="0.25"/>
    <row r="90" s="82" customFormat="1" ht="20.100000000000001" customHeight="1" x14ac:dyDescent="0.25"/>
    <row r="91" s="82" customFormat="1" ht="20.100000000000001" customHeight="1" x14ac:dyDescent="0.25"/>
    <row r="92" s="82" customFormat="1" ht="20.100000000000001" customHeight="1" x14ac:dyDescent="0.25"/>
    <row r="93" s="82" customFormat="1" ht="20.100000000000001" customHeight="1" x14ac:dyDescent="0.25"/>
    <row r="94" s="82" customFormat="1" ht="20.100000000000001" customHeight="1" x14ac:dyDescent="0.25"/>
    <row r="95" s="82" customFormat="1" ht="20.100000000000001" customHeight="1" x14ac:dyDescent="0.25"/>
    <row r="96" s="82" customFormat="1" ht="20.100000000000001" customHeight="1" x14ac:dyDescent="0.25"/>
    <row r="97" s="82" customFormat="1" ht="20.100000000000001" customHeight="1" x14ac:dyDescent="0.25"/>
    <row r="98" s="82" customFormat="1" ht="20.100000000000001" customHeight="1" x14ac:dyDescent="0.25"/>
    <row r="99" s="82" customFormat="1" ht="20.100000000000001" customHeight="1" x14ac:dyDescent="0.25"/>
    <row r="100" s="82" customFormat="1" ht="20.100000000000001" customHeight="1" x14ac:dyDescent="0.25"/>
    <row r="101" s="82" customFormat="1" ht="20.100000000000001" customHeight="1" x14ac:dyDescent="0.25"/>
    <row r="102" s="82" customFormat="1" ht="20.100000000000001" customHeight="1" x14ac:dyDescent="0.25"/>
    <row r="103" s="82" customFormat="1" ht="20.100000000000001" customHeight="1" x14ac:dyDescent="0.25"/>
    <row r="104" s="82" customFormat="1" ht="20.100000000000001" customHeight="1" x14ac:dyDescent="0.25"/>
    <row r="105" s="82" customFormat="1" ht="20.100000000000001" customHeight="1" x14ac:dyDescent="0.25"/>
    <row r="106" s="82" customFormat="1" ht="20.100000000000001" customHeight="1" x14ac:dyDescent="0.25"/>
    <row r="107" s="82" customFormat="1" ht="20.100000000000001" customHeight="1" x14ac:dyDescent="0.25"/>
    <row r="108" s="82" customFormat="1" ht="20.100000000000001" customHeight="1" x14ac:dyDescent="0.25"/>
    <row r="109" s="82" customFormat="1" ht="20.100000000000001" customHeight="1" x14ac:dyDescent="0.25"/>
    <row r="110" s="82" customFormat="1" ht="20.100000000000001" customHeight="1" x14ac:dyDescent="0.25"/>
    <row r="111" s="82" customFormat="1" ht="20.100000000000001" customHeight="1" x14ac:dyDescent="0.25"/>
    <row r="112" s="82" customFormat="1" ht="20.100000000000001" customHeight="1" x14ac:dyDescent="0.25"/>
    <row r="113" s="82" customFormat="1" ht="20.100000000000001" customHeight="1" x14ac:dyDescent="0.25"/>
    <row r="114" s="82" customFormat="1" ht="20.100000000000001" customHeight="1" x14ac:dyDescent="0.25"/>
    <row r="115" s="82" customFormat="1" ht="20.100000000000001" customHeight="1" x14ac:dyDescent="0.25"/>
    <row r="116" s="82" customFormat="1" ht="20.100000000000001" customHeight="1" x14ac:dyDescent="0.25"/>
    <row r="117" s="82" customFormat="1" ht="20.100000000000001" customHeight="1" x14ac:dyDescent="0.25"/>
    <row r="118" s="82" customFormat="1" ht="20.100000000000001" customHeight="1" x14ac:dyDescent="0.25"/>
    <row r="119" s="82" customFormat="1" ht="20.100000000000001" customHeight="1" x14ac:dyDescent="0.25"/>
    <row r="120" s="82" customFormat="1" ht="20.100000000000001" customHeight="1" x14ac:dyDescent="0.25"/>
    <row r="121" s="82" customFormat="1" ht="20.100000000000001" customHeight="1" x14ac:dyDescent="0.25"/>
    <row r="122" s="82" customFormat="1" ht="20.100000000000001" customHeight="1" x14ac:dyDescent="0.25"/>
    <row r="123" s="82" customFormat="1" ht="20.100000000000001" customHeight="1" x14ac:dyDescent="0.25"/>
    <row r="124" s="82" customFormat="1" ht="20.100000000000001" customHeight="1" x14ac:dyDescent="0.25"/>
    <row r="125" s="82" customFormat="1" ht="20.100000000000001" customHeight="1" x14ac:dyDescent="0.25"/>
    <row r="126" s="82" customFormat="1" ht="20.100000000000001" customHeight="1" x14ac:dyDescent="0.25"/>
    <row r="127" s="82" customFormat="1" ht="20.100000000000001" customHeight="1" x14ac:dyDescent="0.25"/>
    <row r="128" s="82" customFormat="1" ht="20.100000000000001" customHeight="1" x14ac:dyDescent="0.25"/>
    <row r="129" s="82" customFormat="1" ht="20.100000000000001" customHeight="1" x14ac:dyDescent="0.25"/>
    <row r="130" s="82" customFormat="1" ht="20.100000000000001" customHeight="1" x14ac:dyDescent="0.25"/>
    <row r="131" s="82" customFormat="1" ht="20.100000000000001" customHeight="1" x14ac:dyDescent="0.25"/>
    <row r="132" s="82" customFormat="1" ht="20.100000000000001" customHeight="1" x14ac:dyDescent="0.25"/>
    <row r="133" s="82" customFormat="1" ht="20.100000000000001" customHeight="1" x14ac:dyDescent="0.25"/>
    <row r="134" s="82" customFormat="1" ht="20.100000000000001" customHeight="1" x14ac:dyDescent="0.25"/>
    <row r="135" s="82" customFormat="1" ht="20.100000000000001" customHeight="1" x14ac:dyDescent="0.25"/>
    <row r="136" s="82" customFormat="1" ht="20.100000000000001" customHeight="1" x14ac:dyDescent="0.25"/>
    <row r="137" s="82" customFormat="1" ht="20.100000000000001" customHeight="1" x14ac:dyDescent="0.25"/>
    <row r="138" s="82" customFormat="1" ht="20.100000000000001" customHeight="1" x14ac:dyDescent="0.25"/>
    <row r="139" s="82" customFormat="1" ht="20.100000000000001" customHeight="1" x14ac:dyDescent="0.25"/>
    <row r="140" s="82" customFormat="1" ht="20.100000000000001" customHeight="1" x14ac:dyDescent="0.25"/>
    <row r="141" s="82" customFormat="1" ht="20.100000000000001" customHeight="1" x14ac:dyDescent="0.25"/>
    <row r="142" s="82" customFormat="1" ht="20.100000000000001" customHeight="1" x14ac:dyDescent="0.25"/>
    <row r="143" s="82" customFormat="1" ht="20.100000000000001" customHeight="1" x14ac:dyDescent="0.25"/>
    <row r="144" s="82" customFormat="1" ht="20.100000000000001" customHeight="1" x14ac:dyDescent="0.25"/>
    <row r="145" s="82" customFormat="1" ht="20.100000000000001" customHeight="1" x14ac:dyDescent="0.25"/>
    <row r="146" s="82" customFormat="1" ht="20.100000000000001" customHeight="1" x14ac:dyDescent="0.25"/>
    <row r="147" s="82" customFormat="1" ht="20.100000000000001" customHeight="1" x14ac:dyDescent="0.25"/>
    <row r="148" s="82" customFormat="1" ht="20.100000000000001" customHeight="1" x14ac:dyDescent="0.25"/>
    <row r="149" s="82" customFormat="1" ht="20.100000000000001" customHeight="1" x14ac:dyDescent="0.25"/>
    <row r="150" s="82" customFormat="1" ht="20.100000000000001" customHeight="1" x14ac:dyDescent="0.25"/>
    <row r="151" s="82" customFormat="1" ht="20.100000000000001" customHeight="1" x14ac:dyDescent="0.25"/>
    <row r="152" s="82" customFormat="1" ht="20.100000000000001" customHeight="1" x14ac:dyDescent="0.25"/>
    <row r="153" s="82" customFormat="1" ht="20.100000000000001" customHeight="1" x14ac:dyDescent="0.25"/>
    <row r="154" s="82" customFormat="1" ht="20.100000000000001" customHeight="1" x14ac:dyDescent="0.25"/>
    <row r="155" s="82" customFormat="1" ht="20.100000000000001" customHeight="1" x14ac:dyDescent="0.25"/>
    <row r="156" s="82" customFormat="1" ht="20.100000000000001" customHeight="1" x14ac:dyDescent="0.25"/>
    <row r="157" s="82" customFormat="1" ht="20.100000000000001" customHeight="1" x14ac:dyDescent="0.25"/>
    <row r="158" s="82" customFormat="1" ht="20.100000000000001" customHeight="1" x14ac:dyDescent="0.25"/>
    <row r="159" s="82" customFormat="1" ht="20.100000000000001" customHeight="1" x14ac:dyDescent="0.25"/>
    <row r="160" s="82" customFormat="1" ht="20.100000000000001" customHeight="1" x14ac:dyDescent="0.25"/>
    <row r="161" s="82" customFormat="1" ht="20.100000000000001" customHeight="1" x14ac:dyDescent="0.25"/>
    <row r="162" s="82" customFormat="1" ht="20.100000000000001" customHeight="1" x14ac:dyDescent="0.25"/>
    <row r="163" s="82" customFormat="1" ht="20.100000000000001" customHeight="1" x14ac:dyDescent="0.25"/>
    <row r="164" s="82" customFormat="1" ht="20.100000000000001" customHeight="1" x14ac:dyDescent="0.25"/>
    <row r="165" s="82" customFormat="1" ht="20.100000000000001" customHeight="1" x14ac:dyDescent="0.25"/>
    <row r="166" s="82" customFormat="1" ht="20.100000000000001" customHeight="1" x14ac:dyDescent="0.25"/>
    <row r="167" s="82" customFormat="1" ht="20.100000000000001" customHeight="1" x14ac:dyDescent="0.25"/>
    <row r="168" s="82" customFormat="1" ht="20.100000000000001" customHeight="1" x14ac:dyDescent="0.25"/>
    <row r="169" s="82" customFormat="1" ht="20.100000000000001" customHeight="1" x14ac:dyDescent="0.25"/>
    <row r="170" s="82" customFormat="1" ht="20.100000000000001" customHeight="1" x14ac:dyDescent="0.25"/>
    <row r="171" s="82" customFormat="1" ht="20.100000000000001" customHeight="1" x14ac:dyDescent="0.25"/>
    <row r="172" s="82" customFormat="1" ht="20.100000000000001" customHeight="1" x14ac:dyDescent="0.25"/>
    <row r="173" s="82" customFormat="1" ht="20.100000000000001" customHeight="1" x14ac:dyDescent="0.25"/>
    <row r="174" s="82" customFormat="1" ht="20.100000000000001" customHeight="1" x14ac:dyDescent="0.25"/>
    <row r="175" s="82" customFormat="1" ht="20.100000000000001" customHeight="1" x14ac:dyDescent="0.25"/>
    <row r="176" s="82" customFormat="1" ht="20.100000000000001" customHeight="1" x14ac:dyDescent="0.25"/>
    <row r="177" s="82" customFormat="1" ht="20.100000000000001" customHeight="1" x14ac:dyDescent="0.25"/>
    <row r="178" s="82" customFormat="1" ht="20.100000000000001" customHeight="1" x14ac:dyDescent="0.25"/>
    <row r="179" s="82" customFormat="1" ht="20.100000000000001" customHeight="1" x14ac:dyDescent="0.25"/>
    <row r="180" s="82" customFormat="1" ht="20.100000000000001" customHeight="1" x14ac:dyDescent="0.25"/>
    <row r="181" s="82" customFormat="1" ht="20.100000000000001" customHeight="1" x14ac:dyDescent="0.25"/>
    <row r="182" s="82" customFormat="1" ht="20.100000000000001" customHeight="1" x14ac:dyDescent="0.25"/>
    <row r="183" s="82" customFormat="1" ht="20.100000000000001" customHeight="1" x14ac:dyDescent="0.25"/>
    <row r="184" s="82" customFormat="1" ht="20.100000000000001" customHeight="1" x14ac:dyDescent="0.25"/>
    <row r="185" s="82" customFormat="1" ht="20.100000000000001" customHeight="1" x14ac:dyDescent="0.25"/>
    <row r="186" s="82" customFormat="1" ht="20.100000000000001" customHeight="1" x14ac:dyDescent="0.25"/>
    <row r="187" s="82" customFormat="1" ht="20.100000000000001" customHeight="1" x14ac:dyDescent="0.25"/>
    <row r="188" s="82" customFormat="1" ht="20.100000000000001" customHeight="1" x14ac:dyDescent="0.25"/>
    <row r="189" s="82" customFormat="1" ht="20.100000000000001" customHeight="1" x14ac:dyDescent="0.25"/>
    <row r="190" s="82" customFormat="1" ht="20.100000000000001" customHeight="1" x14ac:dyDescent="0.25"/>
    <row r="191" s="82" customFormat="1" ht="20.100000000000001" customHeight="1" x14ac:dyDescent="0.25"/>
    <row r="192" s="82" customFormat="1" ht="20.100000000000001" customHeight="1" x14ac:dyDescent="0.25"/>
    <row r="193" s="82" customFormat="1" ht="20.100000000000001" customHeight="1" x14ac:dyDescent="0.25"/>
    <row r="194" s="82" customFormat="1" ht="20.100000000000001" customHeight="1" x14ac:dyDescent="0.25"/>
    <row r="195" s="82" customFormat="1" ht="20.100000000000001" customHeight="1" x14ac:dyDescent="0.25"/>
    <row r="196" s="82" customFormat="1" ht="20.100000000000001" customHeight="1" x14ac:dyDescent="0.25"/>
    <row r="197" s="82" customFormat="1" ht="20.100000000000001" customHeight="1" x14ac:dyDescent="0.25"/>
    <row r="198" s="82" customFormat="1" ht="20.100000000000001" customHeight="1" x14ac:dyDescent="0.25"/>
    <row r="199" s="82" customFormat="1" ht="20.100000000000001" customHeight="1" x14ac:dyDescent="0.25"/>
    <row r="200" s="82" customFormat="1" ht="20.100000000000001" customHeight="1" x14ac:dyDescent="0.25"/>
    <row r="201" s="82" customFormat="1" ht="20.100000000000001" customHeight="1" x14ac:dyDescent="0.25"/>
    <row r="202" s="82" customFormat="1" ht="20.100000000000001" customHeight="1" x14ac:dyDescent="0.25"/>
    <row r="203" s="82" customFormat="1" ht="20.100000000000001" customHeight="1" x14ac:dyDescent="0.25"/>
    <row r="204" s="82" customFormat="1" ht="20.100000000000001" customHeight="1" x14ac:dyDescent="0.25"/>
    <row r="205" s="82" customFormat="1" ht="20.100000000000001" customHeight="1" x14ac:dyDescent="0.25"/>
    <row r="206" s="82" customFormat="1" ht="20.100000000000001" customHeight="1" x14ac:dyDescent="0.25"/>
    <row r="207" s="82" customFormat="1" ht="20.100000000000001" customHeight="1" x14ac:dyDescent="0.25"/>
    <row r="208" s="82" customFormat="1" ht="20.100000000000001" customHeight="1" x14ac:dyDescent="0.25"/>
    <row r="209" s="82" customFormat="1" ht="20.100000000000001" customHeight="1" x14ac:dyDescent="0.25"/>
    <row r="210" s="82" customFormat="1" ht="20.100000000000001" customHeight="1" x14ac:dyDescent="0.25"/>
    <row r="211" s="82" customFormat="1" ht="20.100000000000001" customHeight="1" x14ac:dyDescent="0.25"/>
    <row r="212" s="82" customFormat="1" ht="20.100000000000001" customHeight="1" x14ac:dyDescent="0.25"/>
    <row r="213" s="82" customFormat="1" ht="20.100000000000001" customHeight="1" x14ac:dyDescent="0.25"/>
    <row r="214" s="82" customFormat="1" ht="20.100000000000001" customHeight="1" x14ac:dyDescent="0.25"/>
    <row r="215" s="82" customFormat="1" ht="20.100000000000001" customHeight="1" x14ac:dyDescent="0.25"/>
    <row r="216" s="82" customFormat="1" ht="20.100000000000001" customHeight="1" x14ac:dyDescent="0.25"/>
    <row r="217" s="82" customFormat="1" ht="20.100000000000001" customHeight="1" x14ac:dyDescent="0.25"/>
    <row r="218" s="82" customFormat="1" ht="20.100000000000001" customHeight="1" x14ac:dyDescent="0.25"/>
    <row r="219" s="82" customFormat="1" ht="20.100000000000001" customHeight="1" x14ac:dyDescent="0.25"/>
    <row r="220" s="82" customFormat="1" ht="20.100000000000001" customHeight="1" x14ac:dyDescent="0.25"/>
    <row r="221" s="82" customFormat="1" ht="20.100000000000001" customHeight="1" x14ac:dyDescent="0.25"/>
    <row r="222" s="82" customFormat="1" ht="20.100000000000001" customHeight="1" x14ac:dyDescent="0.25"/>
    <row r="223" s="82" customFormat="1" ht="20.100000000000001" customHeight="1" x14ac:dyDescent="0.25"/>
    <row r="224" s="82" customFormat="1" ht="20.100000000000001" customHeight="1" x14ac:dyDescent="0.25"/>
    <row r="225" s="82" customFormat="1" ht="20.100000000000001" customHeight="1" x14ac:dyDescent="0.25"/>
    <row r="226" s="82" customFormat="1" ht="20.100000000000001" customHeight="1" x14ac:dyDescent="0.25"/>
    <row r="227" s="82" customFormat="1" ht="20.100000000000001" customHeight="1" x14ac:dyDescent="0.25"/>
    <row r="228" s="82" customFormat="1" ht="20.100000000000001" customHeight="1" x14ac:dyDescent="0.25"/>
    <row r="229" s="82" customFormat="1" ht="20.100000000000001" customHeight="1" x14ac:dyDescent="0.25"/>
    <row r="230" s="82" customFormat="1" ht="20.100000000000001" customHeight="1" x14ac:dyDescent="0.25"/>
    <row r="231" s="82" customFormat="1" ht="20.100000000000001" customHeight="1" x14ac:dyDescent="0.25"/>
    <row r="232" s="82" customFormat="1" ht="20.100000000000001" customHeight="1" x14ac:dyDescent="0.25"/>
    <row r="233" s="82" customFormat="1" ht="20.100000000000001" customHeight="1" x14ac:dyDescent="0.25"/>
    <row r="234" s="82" customFormat="1" ht="20.100000000000001" customHeight="1" x14ac:dyDescent="0.25"/>
    <row r="235" s="82" customFormat="1" ht="20.100000000000001" customHeight="1" x14ac:dyDescent="0.25"/>
    <row r="236" s="82" customFormat="1" ht="20.100000000000001" customHeight="1" x14ac:dyDescent="0.25"/>
    <row r="237" s="82" customFormat="1" ht="20.100000000000001" customHeight="1" x14ac:dyDescent="0.25"/>
    <row r="238" s="82" customFormat="1" ht="20.100000000000001" customHeight="1" x14ac:dyDescent="0.25"/>
    <row r="239" s="82" customFormat="1" ht="20.100000000000001" customHeight="1" x14ac:dyDescent="0.25"/>
    <row r="240" s="82" customFormat="1" ht="20.100000000000001" customHeight="1" x14ac:dyDescent="0.25"/>
    <row r="241" s="82" customFormat="1" ht="20.100000000000001" customHeight="1" x14ac:dyDescent="0.25"/>
    <row r="242" s="82" customFormat="1" ht="20.100000000000001" customHeight="1" x14ac:dyDescent="0.25"/>
    <row r="243" s="82" customFormat="1" ht="20.100000000000001" customHeight="1" x14ac:dyDescent="0.25"/>
    <row r="244" s="82" customFormat="1" ht="20.100000000000001" customHeight="1" x14ac:dyDescent="0.25"/>
    <row r="245" s="82" customFormat="1" ht="20.100000000000001" customHeight="1" x14ac:dyDescent="0.25"/>
    <row r="246" s="82" customFormat="1" ht="20.100000000000001" customHeight="1" x14ac:dyDescent="0.25"/>
    <row r="247" s="82" customFormat="1" ht="20.100000000000001" customHeight="1" x14ac:dyDescent="0.25"/>
    <row r="248" s="82" customFormat="1" ht="20.100000000000001" customHeight="1" x14ac:dyDescent="0.25"/>
    <row r="249" s="82" customFormat="1" ht="20.100000000000001" customHeight="1" x14ac:dyDescent="0.25"/>
    <row r="250" s="82" customFormat="1" ht="20.100000000000001" customHeight="1" x14ac:dyDescent="0.25"/>
    <row r="251" s="82" customFormat="1" ht="20.100000000000001" customHeight="1" x14ac:dyDescent="0.25"/>
    <row r="252" s="82" customFormat="1" ht="20.100000000000001" customHeight="1" x14ac:dyDescent="0.25"/>
    <row r="253" s="82" customFormat="1" ht="20.100000000000001" customHeight="1" x14ac:dyDescent="0.25"/>
    <row r="254" s="82" customFormat="1" ht="20.100000000000001" customHeight="1" x14ac:dyDescent="0.25"/>
    <row r="255" s="82" customFormat="1" ht="20.100000000000001" customHeight="1" x14ac:dyDescent="0.25"/>
    <row r="256" s="82" customFormat="1" ht="20.100000000000001" customHeight="1" x14ac:dyDescent="0.25"/>
    <row r="257" s="82" customFormat="1" ht="20.100000000000001" customHeight="1" x14ac:dyDescent="0.25"/>
    <row r="258" s="82" customFormat="1" ht="20.100000000000001" customHeight="1" x14ac:dyDescent="0.25"/>
    <row r="259" s="82" customFormat="1" ht="20.100000000000001" customHeight="1" x14ac:dyDescent="0.25"/>
    <row r="260" s="82" customFormat="1" ht="20.100000000000001" customHeight="1" x14ac:dyDescent="0.25"/>
    <row r="261" s="82" customFormat="1" ht="20.100000000000001" customHeight="1" x14ac:dyDescent="0.25"/>
    <row r="262" s="82" customFormat="1" ht="20.100000000000001" customHeight="1" x14ac:dyDescent="0.25"/>
    <row r="263" s="82" customFormat="1" ht="20.100000000000001" customHeight="1" x14ac:dyDescent="0.25"/>
    <row r="264" s="82" customFormat="1" ht="20.100000000000001" customHeight="1" x14ac:dyDescent="0.25"/>
    <row r="265" s="82" customFormat="1" ht="20.100000000000001" customHeight="1" x14ac:dyDescent="0.25"/>
    <row r="266" s="82" customFormat="1" ht="20.100000000000001" customHeight="1" x14ac:dyDescent="0.25"/>
    <row r="267" s="82" customFormat="1" ht="20.100000000000001" customHeight="1" x14ac:dyDescent="0.25"/>
    <row r="268" s="82" customFormat="1" ht="20.100000000000001" customHeight="1" x14ac:dyDescent="0.25"/>
    <row r="269" s="82" customFormat="1" ht="20.100000000000001" customHeight="1" x14ac:dyDescent="0.25"/>
    <row r="270" s="82" customFormat="1" ht="20.100000000000001" customHeight="1" x14ac:dyDescent="0.25"/>
    <row r="271" s="82" customFormat="1" ht="20.100000000000001" customHeight="1" x14ac:dyDescent="0.25"/>
    <row r="272" s="82" customFormat="1" ht="20.100000000000001" customHeight="1" x14ac:dyDescent="0.25"/>
    <row r="273" s="82" customFormat="1" ht="20.100000000000001" customHeight="1" x14ac:dyDescent="0.25"/>
    <row r="274" s="82" customFormat="1" ht="20.100000000000001" customHeight="1" x14ac:dyDescent="0.25"/>
    <row r="275" s="82" customFormat="1" ht="20.100000000000001" customHeight="1" x14ac:dyDescent="0.25"/>
    <row r="276" s="82" customFormat="1" ht="20.100000000000001" customHeight="1" x14ac:dyDescent="0.25"/>
    <row r="277" s="82" customFormat="1" ht="20.100000000000001" customHeight="1" x14ac:dyDescent="0.25"/>
    <row r="278" s="82" customFormat="1" ht="20.100000000000001" customHeight="1" x14ac:dyDescent="0.25"/>
    <row r="279" s="82" customFormat="1" ht="20.100000000000001" customHeight="1" x14ac:dyDescent="0.25"/>
    <row r="280" s="82" customFormat="1" ht="20.100000000000001" customHeight="1" x14ac:dyDescent="0.25"/>
    <row r="281" s="82" customFormat="1" ht="20.100000000000001" customHeight="1" x14ac:dyDescent="0.25"/>
    <row r="282" s="82" customFormat="1" ht="20.100000000000001" customHeight="1" x14ac:dyDescent="0.25"/>
    <row r="283" s="82" customFormat="1" ht="20.100000000000001" customHeight="1" x14ac:dyDescent="0.25"/>
    <row r="284" s="82" customFormat="1" ht="20.100000000000001" customHeight="1" x14ac:dyDescent="0.25"/>
    <row r="285" s="82" customFormat="1" ht="20.100000000000001" customHeight="1" x14ac:dyDescent="0.25"/>
    <row r="286" s="82" customFormat="1" ht="20.100000000000001" customHeight="1" x14ac:dyDescent="0.25"/>
    <row r="287" s="82" customFormat="1" ht="20.100000000000001" customHeight="1" x14ac:dyDescent="0.25"/>
    <row r="288" s="82" customFormat="1" ht="20.100000000000001" customHeight="1" x14ac:dyDescent="0.25"/>
    <row r="289" s="82" customFormat="1" ht="20.100000000000001" customHeight="1" x14ac:dyDescent="0.25"/>
    <row r="290" s="82" customFormat="1" ht="20.100000000000001" customHeight="1" x14ac:dyDescent="0.25"/>
    <row r="291" s="82" customFormat="1" ht="20.100000000000001" customHeight="1" x14ac:dyDescent="0.25"/>
    <row r="292" s="82" customFormat="1" ht="20.100000000000001" customHeight="1" x14ac:dyDescent="0.25"/>
    <row r="293" s="82" customFormat="1" ht="20.100000000000001" customHeight="1" x14ac:dyDescent="0.25"/>
    <row r="294" s="82" customFormat="1" ht="20.100000000000001" customHeight="1" x14ac:dyDescent="0.25"/>
    <row r="295" s="82" customFormat="1" ht="20.100000000000001" customHeight="1" x14ac:dyDescent="0.25"/>
    <row r="296" s="82" customFormat="1" ht="20.100000000000001" customHeight="1" x14ac:dyDescent="0.25"/>
    <row r="297" s="82" customFormat="1" ht="20.100000000000001" customHeight="1" x14ac:dyDescent="0.25"/>
    <row r="298" s="82" customFormat="1" ht="20.100000000000001" customHeight="1" x14ac:dyDescent="0.25"/>
    <row r="299" s="82" customFormat="1" ht="20.100000000000001" customHeight="1" x14ac:dyDescent="0.25"/>
    <row r="300" s="82" customFormat="1" ht="20.100000000000001" customHeight="1" x14ac:dyDescent="0.25"/>
    <row r="301" s="82" customFormat="1" ht="20.100000000000001" customHeight="1" x14ac:dyDescent="0.25"/>
    <row r="302" s="82" customFormat="1" ht="20.100000000000001" customHeight="1" x14ac:dyDescent="0.25"/>
    <row r="303" s="82" customFormat="1" ht="20.100000000000001" customHeight="1" x14ac:dyDescent="0.25"/>
    <row r="304" s="82" customFormat="1" ht="20.100000000000001" customHeight="1" x14ac:dyDescent="0.25"/>
    <row r="305" s="82" customFormat="1" ht="20.100000000000001" customHeight="1" x14ac:dyDescent="0.25"/>
    <row r="306" s="82" customFormat="1" ht="20.100000000000001" customHeight="1" x14ac:dyDescent="0.25"/>
    <row r="307" s="82" customFormat="1" ht="20.100000000000001" customHeight="1" x14ac:dyDescent="0.25"/>
    <row r="308" s="82" customFormat="1" ht="20.100000000000001" customHeight="1" x14ac:dyDescent="0.25"/>
    <row r="309" s="82" customFormat="1" ht="20.100000000000001" customHeight="1" x14ac:dyDescent="0.25"/>
    <row r="310" s="82" customFormat="1" ht="20.100000000000001" customHeight="1" x14ac:dyDescent="0.25"/>
    <row r="311" s="82" customFormat="1" ht="20.100000000000001" customHeight="1" x14ac:dyDescent="0.25"/>
    <row r="312" s="82" customFormat="1" ht="20.100000000000001" customHeight="1" x14ac:dyDescent="0.25"/>
    <row r="313" s="82" customFormat="1" ht="20.100000000000001" customHeight="1" x14ac:dyDescent="0.25"/>
    <row r="314" s="82" customFormat="1" ht="20.100000000000001" customHeight="1" x14ac:dyDescent="0.25"/>
    <row r="315" s="82" customFormat="1" ht="20.100000000000001" customHeight="1" x14ac:dyDescent="0.25"/>
    <row r="316" s="82" customFormat="1" ht="20.100000000000001" customHeight="1" x14ac:dyDescent="0.25"/>
    <row r="317" s="82" customFormat="1" ht="20.100000000000001" customHeight="1" x14ac:dyDescent="0.25"/>
    <row r="318" s="82" customFormat="1" ht="20.100000000000001" customHeight="1" x14ac:dyDescent="0.25"/>
    <row r="319" s="82" customFormat="1" ht="20.100000000000001" customHeight="1" x14ac:dyDescent="0.25"/>
    <row r="320" s="82" customFormat="1" ht="20.100000000000001" customHeight="1" x14ac:dyDescent="0.25"/>
    <row r="321" s="82" customFormat="1" ht="20.100000000000001" customHeight="1" x14ac:dyDescent="0.25"/>
    <row r="322" s="82" customFormat="1" ht="20.100000000000001" customHeight="1" x14ac:dyDescent="0.25"/>
    <row r="323" s="82" customFormat="1" ht="20.100000000000001" customHeight="1" x14ac:dyDescent="0.25"/>
    <row r="324" s="82" customFormat="1" ht="20.100000000000001" customHeight="1" x14ac:dyDescent="0.25"/>
    <row r="325" s="82" customFormat="1" ht="20.100000000000001" customHeight="1" x14ac:dyDescent="0.25"/>
    <row r="326" s="82" customFormat="1" ht="20.100000000000001" customHeight="1" x14ac:dyDescent="0.25"/>
    <row r="327" s="82" customFormat="1" ht="20.100000000000001" customHeight="1" x14ac:dyDescent="0.25"/>
    <row r="328" s="82" customFormat="1" ht="20.100000000000001" customHeight="1" x14ac:dyDescent="0.25"/>
    <row r="329" s="82" customFormat="1" ht="20.100000000000001" customHeight="1" x14ac:dyDescent="0.25"/>
    <row r="330" s="82" customFormat="1" ht="20.100000000000001" customHeight="1" x14ac:dyDescent="0.25"/>
    <row r="331" s="82" customFormat="1" ht="20.100000000000001" customHeight="1" x14ac:dyDescent="0.25"/>
    <row r="332" s="82" customFormat="1" ht="20.100000000000001" customHeight="1" x14ac:dyDescent="0.25"/>
    <row r="333" s="82" customFormat="1" ht="20.100000000000001" customHeight="1" x14ac:dyDescent="0.25"/>
    <row r="334" s="82" customFormat="1" ht="20.100000000000001" customHeight="1" x14ac:dyDescent="0.25"/>
    <row r="335" s="82" customFormat="1" ht="20.100000000000001" customHeight="1" x14ac:dyDescent="0.25"/>
    <row r="336" s="82" customFormat="1" ht="20.100000000000001" customHeight="1" x14ac:dyDescent="0.25"/>
    <row r="337" s="82" customFormat="1" ht="20.100000000000001" customHeight="1" x14ac:dyDescent="0.25"/>
    <row r="338" s="82" customFormat="1" ht="20.100000000000001" customHeight="1" x14ac:dyDescent="0.25"/>
    <row r="339" s="82" customFormat="1" ht="20.100000000000001" customHeight="1" x14ac:dyDescent="0.25"/>
    <row r="340" s="82" customFormat="1" ht="20.100000000000001" customHeight="1" x14ac:dyDescent="0.25"/>
    <row r="341" s="82" customFormat="1" ht="20.100000000000001" customHeight="1" x14ac:dyDescent="0.25"/>
    <row r="342" s="82" customFormat="1" ht="20.100000000000001" customHeight="1" x14ac:dyDescent="0.25"/>
    <row r="343" s="82" customFormat="1" ht="20.100000000000001" customHeight="1" x14ac:dyDescent="0.25"/>
    <row r="344" s="82" customFormat="1" ht="20.100000000000001" customHeight="1" x14ac:dyDescent="0.25"/>
    <row r="345" s="82" customFormat="1" ht="20.100000000000001" customHeight="1" x14ac:dyDescent="0.25"/>
    <row r="346" s="82" customFormat="1" ht="20.100000000000001" customHeight="1" x14ac:dyDescent="0.25"/>
    <row r="347" s="82" customFormat="1" ht="20.100000000000001" customHeight="1" x14ac:dyDescent="0.25"/>
    <row r="348" s="82" customFormat="1" ht="20.100000000000001" customHeight="1" x14ac:dyDescent="0.25"/>
    <row r="349" s="82" customFormat="1" ht="20.100000000000001" customHeight="1" x14ac:dyDescent="0.25"/>
    <row r="350" s="82" customFormat="1" ht="20.100000000000001" customHeight="1" x14ac:dyDescent="0.25"/>
    <row r="351" s="82" customFormat="1" ht="20.100000000000001" customHeight="1" x14ac:dyDescent="0.25"/>
    <row r="352" s="82" customFormat="1" ht="20.100000000000001" customHeight="1" x14ac:dyDescent="0.25"/>
    <row r="353" s="82" customFormat="1" ht="20.100000000000001" customHeight="1" x14ac:dyDescent="0.25"/>
    <row r="354" s="82" customFormat="1" ht="20.100000000000001" customHeight="1" x14ac:dyDescent="0.25"/>
    <row r="355" s="82" customFormat="1" ht="20.100000000000001" customHeight="1" x14ac:dyDescent="0.25"/>
    <row r="356" s="82" customFormat="1" ht="20.100000000000001" customHeight="1" x14ac:dyDescent="0.25"/>
    <row r="357" s="82" customFormat="1" ht="20.100000000000001" customHeight="1" x14ac:dyDescent="0.25"/>
    <row r="358" s="82" customFormat="1" ht="20.100000000000001" customHeight="1" x14ac:dyDescent="0.25"/>
    <row r="359" s="82" customFormat="1" ht="20.100000000000001" customHeight="1" x14ac:dyDescent="0.25"/>
    <row r="360" s="82" customFormat="1" ht="20.100000000000001" customHeight="1" x14ac:dyDescent="0.25"/>
    <row r="361" s="82" customFormat="1" ht="20.100000000000001" customHeight="1" x14ac:dyDescent="0.25"/>
    <row r="362" s="82" customFormat="1" ht="20.100000000000001" customHeight="1" x14ac:dyDescent="0.25"/>
    <row r="363" s="82" customFormat="1" ht="20.100000000000001" customHeight="1" x14ac:dyDescent="0.25"/>
    <row r="364" s="82" customFormat="1" ht="20.100000000000001" customHeight="1" x14ac:dyDescent="0.25"/>
    <row r="365" s="82" customFormat="1" ht="20.100000000000001" customHeight="1" x14ac:dyDescent="0.25"/>
    <row r="366" s="82" customFormat="1" ht="20.100000000000001" customHeight="1" x14ac:dyDescent="0.25"/>
    <row r="367" s="82" customFormat="1" ht="20.100000000000001" customHeight="1" x14ac:dyDescent="0.25"/>
    <row r="368" s="82" customFormat="1" ht="20.100000000000001" customHeight="1" x14ac:dyDescent="0.25"/>
    <row r="369" s="82" customFormat="1" ht="20.100000000000001" customHeight="1" x14ac:dyDescent="0.25"/>
    <row r="370" s="82" customFormat="1" ht="20.100000000000001" customHeight="1" x14ac:dyDescent="0.25"/>
    <row r="371" s="82" customFormat="1" ht="20.100000000000001" customHeight="1" x14ac:dyDescent="0.25"/>
    <row r="372" s="82" customFormat="1" ht="20.100000000000001" customHeight="1" x14ac:dyDescent="0.25"/>
    <row r="373" s="82" customFormat="1" ht="20.100000000000001" customHeight="1" x14ac:dyDescent="0.25"/>
    <row r="374" s="82" customFormat="1" ht="20.100000000000001" customHeight="1" x14ac:dyDescent="0.25"/>
    <row r="375" s="82" customFormat="1" ht="20.100000000000001" customHeight="1" x14ac:dyDescent="0.25"/>
    <row r="376" s="82" customFormat="1" ht="20.100000000000001" customHeight="1" x14ac:dyDescent="0.25"/>
    <row r="377" s="82" customFormat="1" ht="20.100000000000001" customHeight="1" x14ac:dyDescent="0.25"/>
    <row r="378" s="82" customFormat="1" ht="20.100000000000001" customHeight="1" x14ac:dyDescent="0.25"/>
    <row r="379" s="82" customFormat="1" ht="20.100000000000001" customHeight="1" x14ac:dyDescent="0.25"/>
    <row r="380" s="82" customFormat="1" ht="20.100000000000001" customHeight="1" x14ac:dyDescent="0.25"/>
    <row r="381" s="82" customFormat="1" ht="20.100000000000001" customHeight="1" x14ac:dyDescent="0.25"/>
    <row r="382" s="82" customFormat="1" ht="20.100000000000001" customHeight="1" x14ac:dyDescent="0.25"/>
    <row r="383" s="82" customFormat="1" ht="20.100000000000001" customHeight="1" x14ac:dyDescent="0.25"/>
    <row r="384" s="82" customFormat="1" ht="20.100000000000001" customHeight="1" x14ac:dyDescent="0.25"/>
    <row r="385" s="82" customFormat="1" ht="20.100000000000001" customHeight="1" x14ac:dyDescent="0.25"/>
    <row r="386" s="82" customFormat="1" ht="20.100000000000001" customHeight="1" x14ac:dyDescent="0.25"/>
    <row r="387" s="82" customFormat="1" ht="20.100000000000001" customHeight="1" x14ac:dyDescent="0.25"/>
    <row r="388" s="82" customFormat="1" ht="20.100000000000001" customHeight="1" x14ac:dyDescent="0.25"/>
    <row r="389" s="82" customFormat="1" ht="20.100000000000001" customHeight="1" x14ac:dyDescent="0.25"/>
    <row r="390" s="82" customFormat="1" ht="20.100000000000001" customHeight="1" x14ac:dyDescent="0.25"/>
    <row r="391" s="82" customFormat="1" ht="20.100000000000001" customHeight="1" x14ac:dyDescent="0.25"/>
    <row r="392" s="82" customFormat="1" ht="20.100000000000001" customHeight="1" x14ac:dyDescent="0.25"/>
    <row r="393" s="82" customFormat="1" ht="20.100000000000001" customHeight="1" x14ac:dyDescent="0.25"/>
    <row r="394" s="82" customFormat="1" ht="20.100000000000001" customHeight="1" x14ac:dyDescent="0.25"/>
    <row r="395" s="82" customFormat="1" ht="20.100000000000001" customHeight="1" x14ac:dyDescent="0.25"/>
    <row r="396" s="82" customFormat="1" ht="20.100000000000001" customHeight="1" x14ac:dyDescent="0.25"/>
    <row r="397" s="82" customFormat="1" ht="20.100000000000001" customHeight="1" x14ac:dyDescent="0.25"/>
    <row r="398" s="82" customFormat="1" ht="20.100000000000001" customHeight="1" x14ac:dyDescent="0.25"/>
    <row r="399" s="82" customFormat="1" ht="20.100000000000001" customHeight="1" x14ac:dyDescent="0.25"/>
    <row r="400" s="82" customFormat="1" ht="20.100000000000001" customHeight="1" x14ac:dyDescent="0.25"/>
    <row r="401" s="82" customFormat="1" ht="20.100000000000001" customHeight="1" x14ac:dyDescent="0.25"/>
    <row r="402" s="82" customFormat="1" ht="20.100000000000001" customHeight="1" x14ac:dyDescent="0.25"/>
    <row r="403" s="82" customFormat="1" ht="20.100000000000001" customHeight="1" x14ac:dyDescent="0.25"/>
    <row r="404" s="82" customFormat="1" ht="20.100000000000001" customHeight="1" x14ac:dyDescent="0.25"/>
    <row r="405" s="82" customFormat="1" ht="20.100000000000001" customHeight="1" x14ac:dyDescent="0.25"/>
    <row r="406" s="82" customFormat="1" ht="20.100000000000001" customHeight="1" x14ac:dyDescent="0.25"/>
    <row r="407" s="82" customFormat="1" ht="20.100000000000001" customHeight="1" x14ac:dyDescent="0.25"/>
    <row r="408" s="82" customFormat="1" ht="20.100000000000001" customHeight="1" x14ac:dyDescent="0.25"/>
    <row r="409" s="82" customFormat="1" ht="20.100000000000001" customHeight="1" x14ac:dyDescent="0.25"/>
    <row r="410" s="82" customFormat="1" ht="20.100000000000001" customHeight="1" x14ac:dyDescent="0.25"/>
    <row r="411" s="82" customFormat="1" ht="20.100000000000001" customHeight="1" x14ac:dyDescent="0.25"/>
    <row r="412" s="82" customFormat="1" ht="20.100000000000001" customHeight="1" x14ac:dyDescent="0.25"/>
    <row r="413" s="82" customFormat="1" ht="20.100000000000001" customHeight="1" x14ac:dyDescent="0.25"/>
    <row r="414" s="82" customFormat="1" ht="20.100000000000001" customHeight="1" x14ac:dyDescent="0.25"/>
    <row r="415" s="82" customFormat="1" ht="20.100000000000001" customHeight="1" x14ac:dyDescent="0.25"/>
    <row r="416" s="82" customFormat="1" ht="20.100000000000001" customHeight="1" x14ac:dyDescent="0.25"/>
    <row r="417" s="82" customFormat="1" ht="20.100000000000001" customHeight="1" x14ac:dyDescent="0.25"/>
    <row r="418" s="82" customFormat="1" ht="20.100000000000001" customHeight="1" x14ac:dyDescent="0.25"/>
    <row r="419" s="82" customFormat="1" ht="20.100000000000001" customHeight="1" x14ac:dyDescent="0.25"/>
    <row r="420" s="82" customFormat="1" ht="20.100000000000001" customHeight="1" x14ac:dyDescent="0.25"/>
    <row r="421" s="82" customFormat="1" ht="20.100000000000001" customHeight="1" x14ac:dyDescent="0.25"/>
    <row r="422" s="82" customFormat="1" ht="20.100000000000001" customHeight="1" x14ac:dyDescent="0.25"/>
    <row r="423" s="82" customFormat="1" ht="20.100000000000001" customHeight="1" x14ac:dyDescent="0.25"/>
    <row r="424" s="82" customFormat="1" ht="20.100000000000001" customHeight="1" x14ac:dyDescent="0.25"/>
    <row r="425" s="82" customFormat="1" ht="20.100000000000001" customHeight="1" x14ac:dyDescent="0.25"/>
    <row r="426" s="82" customFormat="1" ht="20.100000000000001" customHeight="1" x14ac:dyDescent="0.25"/>
    <row r="427" s="82" customFormat="1" ht="20.100000000000001" customHeight="1" x14ac:dyDescent="0.25"/>
    <row r="428" s="82" customFormat="1" ht="20.100000000000001" customHeight="1" x14ac:dyDescent="0.25"/>
    <row r="429" s="82" customFormat="1" ht="20.100000000000001" customHeight="1" x14ac:dyDescent="0.25"/>
    <row r="430" s="82" customFormat="1" ht="20.100000000000001" customHeight="1" x14ac:dyDescent="0.25"/>
    <row r="431" s="82" customFormat="1" ht="20.100000000000001" customHeight="1" x14ac:dyDescent="0.25"/>
    <row r="432" s="82" customFormat="1" ht="20.100000000000001" customHeight="1" x14ac:dyDescent="0.25"/>
    <row r="433" s="82" customFormat="1" ht="20.100000000000001" customHeight="1" x14ac:dyDescent="0.25"/>
    <row r="434" s="82" customFormat="1" ht="20.100000000000001" customHeight="1" x14ac:dyDescent="0.25"/>
    <row r="435" s="82" customFormat="1" ht="20.100000000000001" customHeight="1" x14ac:dyDescent="0.25"/>
    <row r="436" s="82" customFormat="1" ht="20.100000000000001" customHeight="1" x14ac:dyDescent="0.25"/>
    <row r="437" s="82" customFormat="1" ht="20.100000000000001" customHeight="1" x14ac:dyDescent="0.25"/>
    <row r="438" s="82" customFormat="1" ht="20.100000000000001" customHeight="1" x14ac:dyDescent="0.25"/>
    <row r="439" s="82" customFormat="1" ht="20.100000000000001" customHeight="1" x14ac:dyDescent="0.25"/>
    <row r="440" s="82" customFormat="1" ht="20.100000000000001" customHeight="1" x14ac:dyDescent="0.25"/>
    <row r="441" s="82" customFormat="1" ht="20.100000000000001" customHeight="1" x14ac:dyDescent="0.25"/>
    <row r="442" s="82" customFormat="1" ht="20.100000000000001" customHeight="1" x14ac:dyDescent="0.25"/>
    <row r="443" s="82" customFormat="1" ht="20.100000000000001" customHeight="1" x14ac:dyDescent="0.25"/>
    <row r="444" s="82" customFormat="1" ht="20.100000000000001" customHeight="1" x14ac:dyDescent="0.25"/>
    <row r="445" s="82" customFormat="1" ht="20.100000000000001" customHeight="1" x14ac:dyDescent="0.25"/>
    <row r="446" s="82" customFormat="1" ht="20.100000000000001" customHeight="1" x14ac:dyDescent="0.25"/>
    <row r="447" s="82" customFormat="1" ht="20.100000000000001" customHeight="1" x14ac:dyDescent="0.25"/>
    <row r="448" s="82" customFormat="1" ht="20.100000000000001" customHeight="1" x14ac:dyDescent="0.25"/>
    <row r="449" s="82" customFormat="1" ht="20.100000000000001" customHeight="1" x14ac:dyDescent="0.25"/>
    <row r="450" s="82" customFormat="1" ht="20.100000000000001" customHeight="1" x14ac:dyDescent="0.25"/>
    <row r="451" s="82" customFormat="1" ht="20.100000000000001" customHeight="1" x14ac:dyDescent="0.25"/>
    <row r="452" s="82" customFormat="1" ht="20.100000000000001" customHeight="1" x14ac:dyDescent="0.25"/>
    <row r="453" s="82" customFormat="1" ht="20.100000000000001" customHeight="1" x14ac:dyDescent="0.25"/>
    <row r="454" s="82" customFormat="1" ht="20.100000000000001" customHeight="1" x14ac:dyDescent="0.25"/>
    <row r="455" s="82" customFormat="1" ht="20.100000000000001" customHeight="1" x14ac:dyDescent="0.25"/>
    <row r="456" s="82" customFormat="1" ht="20.100000000000001" customHeight="1" x14ac:dyDescent="0.25"/>
    <row r="457" s="82" customFormat="1" ht="20.100000000000001" customHeight="1" x14ac:dyDescent="0.25"/>
    <row r="458" s="82" customFormat="1" ht="20.100000000000001" customHeight="1" x14ac:dyDescent="0.25"/>
    <row r="459" s="82" customFormat="1" ht="20.100000000000001" customHeight="1" x14ac:dyDescent="0.25"/>
    <row r="460" s="82" customFormat="1" ht="20.100000000000001" customHeight="1" x14ac:dyDescent="0.25"/>
    <row r="461" s="82" customFormat="1" ht="20.100000000000001" customHeight="1" x14ac:dyDescent="0.25"/>
    <row r="462" s="82" customFormat="1" ht="20.100000000000001" customHeight="1" x14ac:dyDescent="0.25"/>
    <row r="463" s="82" customFormat="1" ht="20.100000000000001" customHeight="1" x14ac:dyDescent="0.25"/>
    <row r="464" s="82" customFormat="1" ht="20.100000000000001" customHeight="1" x14ac:dyDescent="0.25"/>
    <row r="465" s="82" customFormat="1" ht="20.100000000000001" customHeight="1" x14ac:dyDescent="0.25"/>
    <row r="466" s="82" customFormat="1" ht="20.100000000000001" customHeight="1" x14ac:dyDescent="0.25"/>
    <row r="467" s="82" customFormat="1" ht="20.100000000000001" customHeight="1" x14ac:dyDescent="0.25"/>
    <row r="468" s="82" customFormat="1" ht="20.100000000000001" customHeight="1" x14ac:dyDescent="0.25"/>
    <row r="469" s="82" customFormat="1" ht="20.100000000000001" customHeight="1" x14ac:dyDescent="0.25"/>
    <row r="470" s="82" customFormat="1" ht="20.100000000000001" customHeight="1" x14ac:dyDescent="0.25"/>
    <row r="471" s="82" customFormat="1" ht="20.100000000000001" customHeight="1" x14ac:dyDescent="0.25"/>
    <row r="472" s="82" customFormat="1" ht="20.100000000000001" customHeight="1" x14ac:dyDescent="0.25"/>
    <row r="473" s="82" customFormat="1" ht="20.100000000000001" customHeight="1" x14ac:dyDescent="0.25"/>
    <row r="474" s="82" customFormat="1" ht="20.100000000000001" customHeight="1" x14ac:dyDescent="0.25"/>
    <row r="475" s="82" customFormat="1" ht="20.100000000000001" customHeight="1" x14ac:dyDescent="0.25"/>
    <row r="476" s="82" customFormat="1" ht="20.100000000000001" customHeight="1" x14ac:dyDescent="0.25"/>
    <row r="477" s="82" customFormat="1" ht="20.100000000000001" customHeight="1" x14ac:dyDescent="0.25"/>
    <row r="478" s="82" customFormat="1" ht="20.100000000000001" customHeight="1" x14ac:dyDescent="0.25"/>
    <row r="479" s="82" customFormat="1" ht="20.100000000000001" customHeight="1" x14ac:dyDescent="0.25"/>
    <row r="480" s="82" customFormat="1" ht="20.100000000000001" customHeight="1" x14ac:dyDescent="0.25"/>
    <row r="481" s="82" customFormat="1" ht="20.100000000000001" customHeight="1" x14ac:dyDescent="0.25"/>
    <row r="482" s="82" customFormat="1" ht="20.100000000000001" customHeight="1" x14ac:dyDescent="0.25"/>
    <row r="483" s="82" customFormat="1" ht="20.100000000000001" customHeight="1" x14ac:dyDescent="0.25"/>
    <row r="484" s="82" customFormat="1" ht="20.100000000000001" customHeight="1" x14ac:dyDescent="0.25"/>
    <row r="485" s="82" customFormat="1" ht="20.100000000000001" customHeight="1" x14ac:dyDescent="0.25"/>
    <row r="486" s="82" customFormat="1" ht="20.100000000000001" customHeight="1" x14ac:dyDescent="0.25"/>
    <row r="487" s="82" customFormat="1" ht="20.100000000000001" customHeight="1" x14ac:dyDescent="0.25"/>
    <row r="488" s="82" customFormat="1" ht="20.100000000000001" customHeight="1" x14ac:dyDescent="0.25"/>
    <row r="489" s="82" customFormat="1" ht="20.100000000000001" customHeight="1" x14ac:dyDescent="0.25"/>
    <row r="490" s="82" customFormat="1" ht="20.100000000000001" customHeight="1" x14ac:dyDescent="0.25"/>
    <row r="491" s="82" customFormat="1" ht="20.100000000000001" customHeight="1" x14ac:dyDescent="0.25"/>
    <row r="492" s="82" customFormat="1" ht="20.100000000000001" customHeight="1" x14ac:dyDescent="0.25"/>
    <row r="493" s="82" customFormat="1" ht="20.100000000000001" customHeight="1" x14ac:dyDescent="0.25"/>
    <row r="494" s="82" customFormat="1" ht="20.100000000000001" customHeight="1" x14ac:dyDescent="0.25"/>
    <row r="495" s="82" customFormat="1" ht="20.100000000000001" customHeight="1" x14ac:dyDescent="0.25"/>
    <row r="496" s="82" customFormat="1" ht="20.100000000000001" customHeight="1" x14ac:dyDescent="0.25"/>
    <row r="497" s="82" customFormat="1" ht="20.100000000000001" customHeight="1" x14ac:dyDescent="0.25"/>
    <row r="498" s="82" customFormat="1" ht="20.100000000000001" customHeight="1" x14ac:dyDescent="0.25"/>
    <row r="499" s="82" customFormat="1" ht="20.100000000000001" customHeight="1" x14ac:dyDescent="0.25"/>
    <row r="500" s="82" customFormat="1" ht="20.100000000000001" customHeight="1" x14ac:dyDescent="0.25"/>
    <row r="501" s="82" customFormat="1" ht="20.100000000000001" customHeight="1" x14ac:dyDescent="0.25"/>
    <row r="502" s="82" customFormat="1" ht="20.100000000000001" customHeight="1" x14ac:dyDescent="0.25"/>
    <row r="503" s="82" customFormat="1" ht="20.100000000000001" customHeight="1" x14ac:dyDescent="0.25"/>
    <row r="504" s="82" customFormat="1" ht="20.100000000000001" customHeight="1" x14ac:dyDescent="0.25"/>
    <row r="505" s="82" customFormat="1" ht="20.100000000000001" customHeight="1" x14ac:dyDescent="0.25"/>
    <row r="506" s="82" customFormat="1" ht="20.100000000000001" customHeight="1" x14ac:dyDescent="0.25"/>
    <row r="507" s="82" customFormat="1" ht="20.100000000000001" customHeight="1" x14ac:dyDescent="0.25"/>
    <row r="508" s="82" customFormat="1" ht="20.100000000000001" customHeight="1" x14ac:dyDescent="0.25"/>
    <row r="509" s="82" customFormat="1" ht="20.100000000000001" customHeight="1" x14ac:dyDescent="0.25"/>
    <row r="510" s="82" customFormat="1" ht="20.100000000000001" customHeight="1" x14ac:dyDescent="0.25"/>
    <row r="511" s="82" customFormat="1" ht="20.100000000000001" customHeight="1" x14ac:dyDescent="0.25"/>
    <row r="512" s="82" customFormat="1" ht="20.100000000000001" customHeight="1" x14ac:dyDescent="0.25"/>
    <row r="513" s="82" customFormat="1" ht="20.100000000000001" customHeight="1" x14ac:dyDescent="0.25"/>
    <row r="514" s="82" customFormat="1" ht="20.100000000000001" customHeight="1" x14ac:dyDescent="0.25"/>
    <row r="515" s="82" customFormat="1" ht="20.100000000000001" customHeight="1" x14ac:dyDescent="0.25"/>
    <row r="516" s="82" customFormat="1" ht="20.100000000000001" customHeight="1" x14ac:dyDescent="0.25"/>
    <row r="517" s="82" customFormat="1" ht="20.100000000000001" customHeight="1" x14ac:dyDescent="0.25"/>
    <row r="518" s="82" customFormat="1" ht="20.100000000000001" customHeight="1" x14ac:dyDescent="0.25"/>
    <row r="519" s="82" customFormat="1" ht="20.100000000000001" customHeight="1" x14ac:dyDescent="0.25"/>
    <row r="520" s="82" customFormat="1" ht="20.100000000000001" customHeight="1" x14ac:dyDescent="0.25"/>
    <row r="521" s="82" customFormat="1" ht="20.100000000000001" customHeight="1" x14ac:dyDescent="0.25"/>
    <row r="522" s="82" customFormat="1" ht="20.100000000000001" customHeight="1" x14ac:dyDescent="0.25"/>
    <row r="523" s="82" customFormat="1" ht="20.100000000000001" customHeight="1" x14ac:dyDescent="0.25"/>
    <row r="524" s="82" customFormat="1" ht="20.100000000000001" customHeight="1" x14ac:dyDescent="0.25"/>
    <row r="525" s="82" customFormat="1" ht="20.100000000000001" customHeight="1" x14ac:dyDescent="0.25"/>
    <row r="526" s="82" customFormat="1" ht="20.100000000000001" customHeight="1" x14ac:dyDescent="0.25"/>
    <row r="527" s="82" customFormat="1" ht="20.100000000000001" customHeight="1" x14ac:dyDescent="0.25"/>
    <row r="528" s="82" customFormat="1" ht="20.100000000000001" customHeight="1" x14ac:dyDescent="0.25"/>
    <row r="529" s="82" customFormat="1" ht="20.100000000000001" customHeight="1" x14ac:dyDescent="0.25"/>
    <row r="530" s="82" customFormat="1" ht="20.100000000000001" customHeight="1" x14ac:dyDescent="0.25"/>
    <row r="531" s="82" customFormat="1" ht="20.100000000000001" customHeight="1" x14ac:dyDescent="0.25"/>
    <row r="532" s="82" customFormat="1" ht="20.100000000000001" customHeight="1" x14ac:dyDescent="0.25"/>
    <row r="533" s="82" customFormat="1" ht="20.100000000000001" customHeight="1" x14ac:dyDescent="0.25"/>
    <row r="534" s="82" customFormat="1" ht="20.100000000000001" customHeight="1" x14ac:dyDescent="0.25"/>
    <row r="535" s="82" customFormat="1" ht="20.100000000000001" customHeight="1" x14ac:dyDescent="0.25"/>
    <row r="536" s="82" customFormat="1" ht="20.100000000000001" customHeight="1" x14ac:dyDescent="0.25"/>
    <row r="537" s="82" customFormat="1" ht="20.100000000000001" customHeight="1" x14ac:dyDescent="0.25"/>
    <row r="538" s="82" customFormat="1" ht="20.100000000000001" customHeight="1" x14ac:dyDescent="0.25"/>
    <row r="539" s="82" customFormat="1" ht="20.100000000000001" customHeight="1" x14ac:dyDescent="0.25"/>
    <row r="540" s="82" customFormat="1" ht="20.100000000000001" customHeight="1" x14ac:dyDescent="0.25"/>
    <row r="541" s="82" customFormat="1" ht="20.100000000000001" customHeight="1" x14ac:dyDescent="0.25"/>
    <row r="542" s="82" customFormat="1" ht="20.100000000000001" customHeight="1" x14ac:dyDescent="0.25"/>
    <row r="543" s="82" customFormat="1" ht="20.100000000000001" customHeight="1" x14ac:dyDescent="0.25"/>
    <row r="544" s="82" customFormat="1" ht="20.100000000000001" customHeight="1" x14ac:dyDescent="0.25"/>
    <row r="545" s="82" customFormat="1" ht="20.100000000000001" customHeight="1" x14ac:dyDescent="0.25"/>
    <row r="546" s="82" customFormat="1" ht="20.100000000000001" customHeight="1" x14ac:dyDescent="0.25"/>
    <row r="547" s="82" customFormat="1" ht="20.100000000000001" customHeight="1" x14ac:dyDescent="0.25"/>
    <row r="548" s="82" customFormat="1" ht="20.100000000000001" customHeight="1" x14ac:dyDescent="0.25"/>
    <row r="549" s="82" customFormat="1" ht="20.100000000000001" customHeight="1" x14ac:dyDescent="0.25"/>
    <row r="550" s="82" customFormat="1" ht="20.100000000000001" customHeight="1" x14ac:dyDescent="0.25"/>
    <row r="551" s="82" customFormat="1" ht="20.100000000000001" customHeight="1" x14ac:dyDescent="0.25"/>
    <row r="552" s="82" customFormat="1" ht="20.100000000000001" customHeight="1" x14ac:dyDescent="0.25"/>
    <row r="553" s="82" customFormat="1" ht="20.100000000000001" customHeight="1" x14ac:dyDescent="0.25"/>
    <row r="554" s="82" customFormat="1" ht="20.100000000000001" customHeight="1" x14ac:dyDescent="0.25"/>
    <row r="555" s="82" customFormat="1" ht="20.100000000000001" customHeight="1" x14ac:dyDescent="0.25"/>
    <row r="556" s="82" customFormat="1" ht="20.100000000000001" customHeight="1" x14ac:dyDescent="0.25"/>
    <row r="557" s="82" customFormat="1" ht="20.100000000000001" customHeight="1" x14ac:dyDescent="0.25"/>
    <row r="558" s="82" customFormat="1" ht="20.100000000000001" customHeight="1" x14ac:dyDescent="0.25"/>
    <row r="559" s="82" customFormat="1" ht="20.100000000000001" customHeight="1" x14ac:dyDescent="0.25"/>
    <row r="560" s="82" customFormat="1" ht="20.100000000000001" customHeight="1" x14ac:dyDescent="0.25"/>
    <row r="561" s="82" customFormat="1" ht="20.100000000000001" customHeight="1" x14ac:dyDescent="0.25"/>
    <row r="562" s="82" customFormat="1" ht="20.100000000000001" customHeight="1" x14ac:dyDescent="0.25"/>
    <row r="563" s="82" customFormat="1" ht="20.100000000000001" customHeight="1" x14ac:dyDescent="0.25"/>
    <row r="564" s="82" customFormat="1" ht="20.100000000000001" customHeight="1" x14ac:dyDescent="0.25"/>
    <row r="565" s="82" customFormat="1" ht="20.100000000000001" customHeight="1" x14ac:dyDescent="0.25"/>
    <row r="566" s="82" customFormat="1" ht="20.100000000000001" customHeight="1" x14ac:dyDescent="0.25"/>
    <row r="567" s="82" customFormat="1" ht="20.100000000000001" customHeight="1" x14ac:dyDescent="0.25"/>
    <row r="568" s="82" customFormat="1" ht="20.100000000000001" customHeight="1" x14ac:dyDescent="0.25"/>
    <row r="569" s="82" customFormat="1" ht="20.100000000000001" customHeight="1" x14ac:dyDescent="0.25"/>
    <row r="570" s="82" customFormat="1" ht="20.100000000000001" customHeight="1" x14ac:dyDescent="0.25"/>
    <row r="571" s="82" customFormat="1" ht="20.100000000000001" customHeight="1" x14ac:dyDescent="0.25"/>
    <row r="572" s="82" customFormat="1" ht="20.100000000000001" customHeight="1" x14ac:dyDescent="0.25"/>
    <row r="573" s="82" customFormat="1" ht="20.100000000000001" customHeight="1" x14ac:dyDescent="0.25"/>
    <row r="574" s="82" customFormat="1" ht="20.100000000000001" customHeight="1" x14ac:dyDescent="0.25"/>
    <row r="575" s="82" customFormat="1" ht="20.100000000000001" customHeight="1" x14ac:dyDescent="0.25"/>
    <row r="576" s="82" customFormat="1" ht="20.100000000000001" customHeight="1" x14ac:dyDescent="0.25"/>
    <row r="577" s="82" customFormat="1" ht="20.100000000000001" customHeight="1" x14ac:dyDescent="0.25"/>
    <row r="578" s="82" customFormat="1" ht="20.100000000000001" customHeight="1" x14ac:dyDescent="0.25"/>
    <row r="579" s="82" customFormat="1" ht="20.100000000000001" customHeight="1" x14ac:dyDescent="0.25"/>
    <row r="580" s="82" customFormat="1" ht="20.100000000000001" customHeight="1" x14ac:dyDescent="0.25"/>
    <row r="581" s="82" customFormat="1" ht="20.100000000000001" customHeight="1" x14ac:dyDescent="0.25"/>
    <row r="582" s="82" customFormat="1" ht="20.100000000000001" customHeight="1" x14ac:dyDescent="0.25"/>
    <row r="583" s="82" customFormat="1" ht="20.100000000000001" customHeight="1" x14ac:dyDescent="0.25"/>
    <row r="584" s="82" customFormat="1" ht="20.100000000000001" customHeight="1" x14ac:dyDescent="0.25"/>
    <row r="585" s="82" customFormat="1" ht="20.100000000000001" customHeight="1" x14ac:dyDescent="0.25"/>
    <row r="586" s="82" customFormat="1" ht="20.100000000000001" customHeight="1" x14ac:dyDescent="0.25"/>
    <row r="587" s="82" customFormat="1" ht="20.100000000000001" customHeight="1" x14ac:dyDescent="0.25"/>
    <row r="588" s="82" customFormat="1" ht="20.100000000000001" customHeight="1" x14ac:dyDescent="0.25"/>
    <row r="589" s="82" customFormat="1" ht="20.100000000000001" customHeight="1" x14ac:dyDescent="0.25"/>
    <row r="590" s="82" customFormat="1" ht="20.100000000000001" customHeight="1" x14ac:dyDescent="0.25"/>
    <row r="591" s="82" customFormat="1" ht="20.100000000000001" customHeight="1" x14ac:dyDescent="0.25"/>
    <row r="592" s="82" customFormat="1" ht="20.100000000000001" customHeight="1" x14ac:dyDescent="0.25"/>
    <row r="593" s="82" customFormat="1" ht="20.100000000000001" customHeight="1" x14ac:dyDescent="0.25"/>
    <row r="594" s="82" customFormat="1" ht="20.100000000000001" customHeight="1" x14ac:dyDescent="0.25"/>
    <row r="595" s="82" customFormat="1" ht="20.100000000000001" customHeight="1" x14ac:dyDescent="0.25"/>
    <row r="596" s="82" customFormat="1" ht="20.100000000000001" customHeight="1" x14ac:dyDescent="0.25"/>
    <row r="597" s="82" customFormat="1" ht="20.100000000000001" customHeight="1" x14ac:dyDescent="0.25"/>
    <row r="598" s="82" customFormat="1" ht="20.100000000000001" customHeight="1" x14ac:dyDescent="0.25"/>
    <row r="599" s="82" customFormat="1" ht="20.100000000000001" customHeight="1" x14ac:dyDescent="0.25"/>
    <row r="600" s="82" customFormat="1" ht="20.100000000000001" customHeight="1" x14ac:dyDescent="0.25"/>
    <row r="601" s="82" customFormat="1" ht="20.100000000000001" customHeight="1" x14ac:dyDescent="0.25"/>
    <row r="602" s="82" customFormat="1" ht="20.100000000000001" customHeight="1" x14ac:dyDescent="0.25"/>
    <row r="603" s="82" customFormat="1" ht="20.100000000000001" customHeight="1" x14ac:dyDescent="0.25"/>
    <row r="604" s="82" customFormat="1" ht="20.100000000000001" customHeight="1" x14ac:dyDescent="0.25"/>
    <row r="605" s="82" customFormat="1" ht="20.100000000000001" customHeight="1" x14ac:dyDescent="0.25"/>
    <row r="606" s="82" customFormat="1" ht="20.100000000000001" customHeight="1" x14ac:dyDescent="0.25"/>
    <row r="607" s="82" customFormat="1" ht="20.100000000000001" customHeight="1" x14ac:dyDescent="0.25"/>
    <row r="608" s="82" customFormat="1" ht="20.100000000000001" customHeight="1" x14ac:dyDescent="0.25"/>
    <row r="609" s="82" customFormat="1" ht="20.100000000000001" customHeight="1" x14ac:dyDescent="0.25"/>
    <row r="610" s="82" customFormat="1" ht="20.100000000000001" customHeight="1" x14ac:dyDescent="0.25"/>
    <row r="611" s="82" customFormat="1" ht="20.100000000000001" customHeight="1" x14ac:dyDescent="0.25"/>
    <row r="612" s="82" customFormat="1" ht="20.100000000000001" customHeight="1" x14ac:dyDescent="0.25"/>
    <row r="613" s="82" customFormat="1" ht="20.100000000000001" customHeight="1" x14ac:dyDescent="0.25"/>
    <row r="614" s="82" customFormat="1" ht="20.100000000000001" customHeight="1" x14ac:dyDescent="0.25"/>
    <row r="615" s="82" customFormat="1" ht="20.100000000000001" customHeight="1" x14ac:dyDescent="0.25"/>
    <row r="616" s="82" customFormat="1" ht="20.100000000000001" customHeight="1" x14ac:dyDescent="0.25"/>
    <row r="617" s="82" customFormat="1" ht="20.100000000000001" customHeight="1" x14ac:dyDescent="0.25"/>
    <row r="618" s="82" customFormat="1" ht="20.100000000000001" customHeight="1" x14ac:dyDescent="0.25"/>
    <row r="619" s="82" customFormat="1" ht="20.100000000000001" customHeight="1" x14ac:dyDescent="0.25"/>
    <row r="620" s="82" customFormat="1" ht="20.100000000000001" customHeight="1" x14ac:dyDescent="0.25"/>
    <row r="621" s="82" customFormat="1" ht="20.100000000000001" customHeight="1" x14ac:dyDescent="0.25"/>
    <row r="622" s="82" customFormat="1" ht="20.100000000000001" customHeight="1" x14ac:dyDescent="0.25"/>
    <row r="623" s="82" customFormat="1" ht="20.100000000000001" customHeight="1" x14ac:dyDescent="0.25"/>
    <row r="624" s="82" customFormat="1" ht="20.100000000000001" customHeight="1" x14ac:dyDescent="0.25"/>
    <row r="625" s="82" customFormat="1" ht="20.100000000000001" customHeight="1" x14ac:dyDescent="0.25"/>
    <row r="626" s="82" customFormat="1" ht="20.100000000000001" customHeight="1" x14ac:dyDescent="0.25"/>
    <row r="627" s="82" customFormat="1" ht="20.100000000000001" customHeight="1" x14ac:dyDescent="0.25"/>
    <row r="628" s="82" customFormat="1" ht="20.100000000000001" customHeight="1" x14ac:dyDescent="0.25"/>
    <row r="629" s="82" customFormat="1" ht="20.100000000000001" customHeight="1" x14ac:dyDescent="0.25"/>
    <row r="630" s="82" customFormat="1" ht="20.100000000000001" customHeight="1" x14ac:dyDescent="0.25"/>
    <row r="631" s="82" customFormat="1" ht="20.100000000000001" customHeight="1" x14ac:dyDescent="0.25"/>
    <row r="632" s="82" customFormat="1" ht="20.100000000000001" customHeight="1" x14ac:dyDescent="0.25"/>
    <row r="633" s="82" customFormat="1" ht="20.100000000000001" customHeight="1" x14ac:dyDescent="0.25"/>
    <row r="634" s="82" customFormat="1" ht="20.100000000000001" customHeight="1" x14ac:dyDescent="0.25"/>
    <row r="635" s="82" customFormat="1" ht="20.100000000000001" customHeight="1" x14ac:dyDescent="0.25"/>
    <row r="636" s="82" customFormat="1" ht="20.100000000000001" customHeight="1" x14ac:dyDescent="0.25"/>
    <row r="637" s="82" customFormat="1" ht="20.100000000000001" customHeight="1" x14ac:dyDescent="0.25"/>
    <row r="638" s="82" customFormat="1" ht="20.100000000000001" customHeight="1" x14ac:dyDescent="0.25"/>
    <row r="639" s="82" customFormat="1" ht="20.100000000000001" customHeight="1" x14ac:dyDescent="0.25"/>
    <row r="640" s="82" customFormat="1" ht="20.100000000000001" customHeight="1" x14ac:dyDescent="0.25"/>
    <row r="641" s="82" customFormat="1" ht="20.100000000000001" customHeight="1" x14ac:dyDescent="0.25"/>
    <row r="642" s="82" customFormat="1" ht="20.100000000000001" customHeight="1" x14ac:dyDescent="0.25"/>
    <row r="643" s="82" customFormat="1" ht="20.100000000000001" customHeight="1" x14ac:dyDescent="0.25"/>
    <row r="644" s="82" customFormat="1" ht="20.100000000000001" customHeight="1" x14ac:dyDescent="0.25"/>
    <row r="645" s="82" customFormat="1" ht="20.100000000000001" customHeight="1" x14ac:dyDescent="0.25"/>
    <row r="646" s="82" customFormat="1" ht="20.100000000000001" customHeight="1" x14ac:dyDescent="0.25"/>
    <row r="647" s="82" customFormat="1" ht="20.100000000000001" customHeight="1" x14ac:dyDescent="0.25"/>
    <row r="648" s="82" customFormat="1" ht="20.100000000000001" customHeight="1" x14ac:dyDescent="0.25"/>
    <row r="649" s="82" customFormat="1" ht="20.100000000000001" customHeight="1" x14ac:dyDescent="0.25"/>
    <row r="650" s="82" customFormat="1" ht="20.100000000000001" customHeight="1" x14ac:dyDescent="0.25"/>
    <row r="651" s="82" customFormat="1" ht="20.100000000000001" customHeight="1" x14ac:dyDescent="0.25"/>
    <row r="652" s="82" customFormat="1" ht="20.100000000000001" customHeight="1" x14ac:dyDescent="0.25"/>
    <row r="653" s="82" customFormat="1" ht="20.100000000000001" customHeight="1" x14ac:dyDescent="0.25"/>
    <row r="654" s="82" customFormat="1" ht="20.100000000000001" customHeight="1" x14ac:dyDescent="0.25"/>
    <row r="655" s="82" customFormat="1" ht="20.100000000000001" customHeight="1" x14ac:dyDescent="0.25"/>
    <row r="656" s="82" customFormat="1" ht="20.100000000000001" customHeight="1" x14ac:dyDescent="0.25"/>
    <row r="657" s="82" customFormat="1" ht="20.100000000000001" customHeight="1" x14ac:dyDescent="0.25"/>
    <row r="658" s="82" customFormat="1" ht="20.100000000000001" customHeight="1" x14ac:dyDescent="0.25"/>
    <row r="659" s="82" customFormat="1" ht="20.100000000000001" customHeight="1" x14ac:dyDescent="0.25"/>
    <row r="660" s="82" customFormat="1" ht="20.100000000000001" customHeight="1" x14ac:dyDescent="0.25"/>
    <row r="661" s="82" customFormat="1" ht="20.100000000000001" customHeight="1" x14ac:dyDescent="0.25"/>
    <row r="662" s="82" customFormat="1" ht="20.100000000000001" customHeight="1" x14ac:dyDescent="0.25"/>
    <row r="663" s="82" customFormat="1" ht="20.100000000000001" customHeight="1" x14ac:dyDescent="0.25"/>
    <row r="664" s="82" customFormat="1" ht="20.100000000000001" customHeight="1" x14ac:dyDescent="0.25"/>
    <row r="665" s="82" customFormat="1" ht="20.100000000000001" customHeight="1" x14ac:dyDescent="0.25"/>
    <row r="666" s="82" customFormat="1" ht="20.100000000000001" customHeight="1" x14ac:dyDescent="0.25"/>
    <row r="667" s="82" customFormat="1" ht="20.100000000000001" customHeight="1" x14ac:dyDescent="0.25"/>
    <row r="668" s="82" customFormat="1" ht="20.100000000000001" customHeight="1" x14ac:dyDescent="0.25"/>
    <row r="669" s="82" customFormat="1" ht="20.100000000000001" customHeight="1" x14ac:dyDescent="0.25"/>
    <row r="670" s="82" customFormat="1" ht="20.100000000000001" customHeight="1" x14ac:dyDescent="0.25"/>
    <row r="671" s="82" customFormat="1" ht="20.100000000000001" customHeight="1" x14ac:dyDescent="0.25"/>
    <row r="672" s="82" customFormat="1" ht="20.100000000000001" customHeight="1" x14ac:dyDescent="0.25"/>
    <row r="673" s="82" customFormat="1" ht="20.100000000000001" customHeight="1" x14ac:dyDescent="0.25"/>
    <row r="674" s="82" customFormat="1" ht="20.100000000000001" customHeight="1" x14ac:dyDescent="0.25"/>
    <row r="675" s="82" customFormat="1" ht="20.100000000000001" customHeight="1" x14ac:dyDescent="0.25"/>
    <row r="676" s="82" customFormat="1" ht="20.100000000000001" customHeight="1" x14ac:dyDescent="0.25"/>
    <row r="677" s="82" customFormat="1" ht="20.100000000000001" customHeight="1" x14ac:dyDescent="0.25"/>
    <row r="678" s="82" customFormat="1" ht="20.100000000000001" customHeight="1" x14ac:dyDescent="0.25"/>
    <row r="679" s="82" customFormat="1" ht="20.100000000000001" customHeight="1" x14ac:dyDescent="0.25"/>
    <row r="680" s="82" customFormat="1" ht="20.100000000000001" customHeight="1" x14ac:dyDescent="0.25"/>
    <row r="681" s="82" customFormat="1" ht="20.100000000000001" customHeight="1" x14ac:dyDescent="0.25"/>
    <row r="682" s="82" customFormat="1" ht="20.100000000000001" customHeight="1" x14ac:dyDescent="0.25"/>
    <row r="683" s="82" customFormat="1" ht="20.100000000000001" customHeight="1" x14ac:dyDescent="0.25"/>
    <row r="684" s="82" customFormat="1" ht="20.100000000000001" customHeight="1" x14ac:dyDescent="0.25"/>
    <row r="685" s="82" customFormat="1" ht="20.100000000000001" customHeight="1" x14ac:dyDescent="0.25"/>
    <row r="686" s="82" customFormat="1" ht="20.100000000000001" customHeight="1" x14ac:dyDescent="0.25"/>
    <row r="687" s="82" customFormat="1" ht="20.100000000000001" customHeight="1" x14ac:dyDescent="0.25"/>
    <row r="688" s="82" customFormat="1" ht="20.100000000000001" customHeight="1" x14ac:dyDescent="0.25"/>
    <row r="689" s="82" customFormat="1" ht="20.100000000000001" customHeight="1" x14ac:dyDescent="0.25"/>
    <row r="690" s="82" customFormat="1" ht="20.100000000000001" customHeight="1" x14ac:dyDescent="0.25"/>
    <row r="691" s="82" customFormat="1" ht="20.100000000000001" customHeight="1" x14ac:dyDescent="0.25"/>
    <row r="692" s="82" customFormat="1" ht="20.100000000000001" customHeight="1" x14ac:dyDescent="0.25"/>
    <row r="693" s="82" customFormat="1" ht="20.100000000000001" customHeight="1" x14ac:dyDescent="0.25"/>
    <row r="694" s="82" customFormat="1" ht="20.100000000000001" customHeight="1" x14ac:dyDescent="0.25"/>
    <row r="695" s="82" customFormat="1" ht="20.100000000000001" customHeight="1" x14ac:dyDescent="0.25"/>
    <row r="696" s="82" customFormat="1" ht="20.100000000000001" customHeight="1" x14ac:dyDescent="0.25"/>
    <row r="697" s="82" customFormat="1" ht="20.100000000000001" customHeight="1" x14ac:dyDescent="0.25"/>
    <row r="698" s="82" customFormat="1" ht="20.100000000000001" customHeight="1" x14ac:dyDescent="0.25"/>
    <row r="699" s="82" customFormat="1" ht="20.100000000000001" customHeight="1" x14ac:dyDescent="0.25"/>
    <row r="700" s="82" customFormat="1" ht="20.100000000000001" customHeight="1" x14ac:dyDescent="0.25"/>
    <row r="701" s="82" customFormat="1" ht="20.100000000000001" customHeight="1" x14ac:dyDescent="0.25"/>
    <row r="702" s="82" customFormat="1" ht="20.100000000000001" customHeight="1" x14ac:dyDescent="0.25"/>
    <row r="703" s="82" customFormat="1" ht="20.100000000000001" customHeight="1" x14ac:dyDescent="0.25"/>
    <row r="704" s="82" customFormat="1" ht="20.100000000000001" customHeight="1" x14ac:dyDescent="0.25"/>
    <row r="705" s="82" customFormat="1" ht="20.100000000000001" customHeight="1" x14ac:dyDescent="0.25"/>
    <row r="706" s="82" customFormat="1" ht="20.100000000000001" customHeight="1" x14ac:dyDescent="0.25"/>
    <row r="707" s="82" customFormat="1" ht="20.100000000000001" customHeight="1" x14ac:dyDescent="0.25"/>
    <row r="708" s="82" customFormat="1" ht="20.100000000000001" customHeight="1" x14ac:dyDescent="0.25"/>
    <row r="709" s="82" customFormat="1" ht="20.100000000000001" customHeight="1" x14ac:dyDescent="0.25"/>
    <row r="710" s="82" customFormat="1" ht="20.100000000000001" customHeight="1" x14ac:dyDescent="0.25"/>
    <row r="711" s="82" customFormat="1" ht="20.100000000000001" customHeight="1" x14ac:dyDescent="0.25"/>
    <row r="712" s="82" customFormat="1" ht="20.100000000000001" customHeight="1" x14ac:dyDescent="0.25"/>
    <row r="713" s="82" customFormat="1" ht="20.100000000000001" customHeight="1" x14ac:dyDescent="0.25"/>
    <row r="714" s="82" customFormat="1" ht="20.100000000000001" customHeight="1" x14ac:dyDescent="0.25"/>
    <row r="715" s="82" customFormat="1" ht="20.100000000000001" customHeight="1" x14ac:dyDescent="0.25"/>
    <row r="716" s="82" customFormat="1" ht="20.100000000000001" customHeight="1" x14ac:dyDescent="0.25"/>
    <row r="717" s="82" customFormat="1" ht="20.100000000000001" customHeight="1" x14ac:dyDescent="0.25"/>
    <row r="718" s="82" customFormat="1" ht="20.100000000000001" customHeight="1" x14ac:dyDescent="0.25"/>
    <row r="719" s="82" customFormat="1" ht="20.100000000000001" customHeight="1" x14ac:dyDescent="0.25"/>
    <row r="720" s="82" customFormat="1" ht="20.100000000000001" customHeight="1" x14ac:dyDescent="0.25"/>
    <row r="721" s="82" customFormat="1" ht="20.100000000000001" customHeight="1" x14ac:dyDescent="0.25"/>
    <row r="722" s="82" customFormat="1" ht="20.100000000000001" customHeight="1" x14ac:dyDescent="0.25"/>
    <row r="723" s="82" customFormat="1" ht="20.100000000000001" customHeight="1" x14ac:dyDescent="0.25"/>
    <row r="724" s="82" customFormat="1" ht="20.100000000000001" customHeight="1" x14ac:dyDescent="0.25"/>
    <row r="725" s="82" customFormat="1" ht="20.100000000000001" customHeight="1" x14ac:dyDescent="0.25"/>
    <row r="726" s="82" customFormat="1" ht="20.100000000000001" customHeight="1" x14ac:dyDescent="0.25"/>
    <row r="727" s="82" customFormat="1" ht="20.100000000000001" customHeight="1" x14ac:dyDescent="0.25"/>
    <row r="728" s="82" customFormat="1" ht="20.100000000000001" customHeight="1" x14ac:dyDescent="0.25"/>
    <row r="729" s="82" customFormat="1" ht="20.100000000000001" customHeight="1" x14ac:dyDescent="0.25"/>
    <row r="730" s="82" customFormat="1" ht="20.100000000000001" customHeight="1" x14ac:dyDescent="0.25"/>
    <row r="731" s="82" customFormat="1" ht="20.100000000000001" customHeight="1" x14ac:dyDescent="0.25"/>
    <row r="732" s="82" customFormat="1" ht="20.100000000000001" customHeight="1" x14ac:dyDescent="0.25"/>
    <row r="733" s="82" customFormat="1" ht="20.100000000000001" customHeight="1" x14ac:dyDescent="0.25"/>
    <row r="734" s="82" customFormat="1" ht="20.100000000000001" customHeight="1" x14ac:dyDescent="0.25"/>
    <row r="735" s="82" customFormat="1" ht="20.100000000000001" customHeight="1" x14ac:dyDescent="0.25"/>
    <row r="736" s="82" customFormat="1" ht="20.100000000000001" customHeight="1" x14ac:dyDescent="0.25"/>
    <row r="737" s="82" customFormat="1" ht="20.100000000000001" customHeight="1" x14ac:dyDescent="0.25"/>
    <row r="738" s="82" customFormat="1" ht="20.100000000000001" customHeight="1" x14ac:dyDescent="0.25"/>
    <row r="739" s="82" customFormat="1" ht="20.100000000000001" customHeight="1" x14ac:dyDescent="0.25"/>
    <row r="740" s="82" customFormat="1" ht="20.100000000000001" customHeight="1" x14ac:dyDescent="0.25"/>
    <row r="741" s="82" customFormat="1" ht="20.100000000000001" customHeight="1" x14ac:dyDescent="0.25"/>
    <row r="742" s="82" customFormat="1" ht="20.100000000000001" customHeight="1" x14ac:dyDescent="0.25"/>
    <row r="743" s="82" customFormat="1" ht="20.100000000000001" customHeight="1" x14ac:dyDescent="0.25"/>
    <row r="744" s="82" customFormat="1" ht="20.100000000000001" customHeight="1" x14ac:dyDescent="0.25"/>
    <row r="745" s="82" customFormat="1" ht="20.100000000000001" customHeight="1" x14ac:dyDescent="0.25"/>
    <row r="746" s="82" customFormat="1" ht="20.100000000000001" customHeight="1" x14ac:dyDescent="0.25"/>
    <row r="747" s="82" customFormat="1" ht="20.100000000000001" customHeight="1" x14ac:dyDescent="0.25"/>
    <row r="748" s="82" customFormat="1" ht="20.100000000000001" customHeight="1" x14ac:dyDescent="0.25"/>
    <row r="749" s="82" customFormat="1" ht="20.100000000000001" customHeight="1" x14ac:dyDescent="0.25"/>
    <row r="750" s="82" customFormat="1" ht="20.100000000000001" customHeight="1" x14ac:dyDescent="0.25"/>
    <row r="751" s="82" customFormat="1" ht="20.100000000000001" customHeight="1" x14ac:dyDescent="0.25"/>
    <row r="752" s="82" customFormat="1" ht="20.100000000000001" customHeight="1" x14ac:dyDescent="0.25"/>
    <row r="753" s="82" customFormat="1" ht="20.100000000000001" customHeight="1" x14ac:dyDescent="0.25"/>
    <row r="754" s="82" customFormat="1" ht="20.100000000000001" customHeight="1" x14ac:dyDescent="0.25"/>
    <row r="755" s="82" customFormat="1" ht="20.100000000000001" customHeight="1" x14ac:dyDescent="0.25"/>
    <row r="756" s="82" customFormat="1" ht="20.100000000000001" customHeight="1" x14ac:dyDescent="0.25"/>
    <row r="757" s="82" customFormat="1" ht="20.100000000000001" customHeight="1" x14ac:dyDescent="0.25"/>
    <row r="758" s="82" customFormat="1" ht="20.100000000000001" customHeight="1" x14ac:dyDescent="0.25"/>
    <row r="759" s="82" customFormat="1" ht="20.100000000000001" customHeight="1" x14ac:dyDescent="0.25"/>
    <row r="760" s="82" customFormat="1" ht="20.100000000000001" customHeight="1" x14ac:dyDescent="0.25"/>
    <row r="761" s="82" customFormat="1" ht="20.100000000000001" customHeight="1" x14ac:dyDescent="0.25"/>
    <row r="762" s="82" customFormat="1" ht="20.100000000000001" customHeight="1" x14ac:dyDescent="0.25"/>
    <row r="763" s="82" customFormat="1" ht="20.100000000000001" customHeight="1" x14ac:dyDescent="0.25"/>
    <row r="764" s="82" customFormat="1" ht="20.100000000000001" customHeight="1" x14ac:dyDescent="0.25"/>
    <row r="765" s="82" customFormat="1" ht="20.100000000000001" customHeight="1" x14ac:dyDescent="0.25"/>
    <row r="766" s="82" customFormat="1" ht="20.100000000000001" customHeight="1" x14ac:dyDescent="0.25"/>
    <row r="767" s="82" customFormat="1" ht="20.100000000000001" customHeight="1" x14ac:dyDescent="0.25"/>
    <row r="768" s="82" customFormat="1" ht="20.100000000000001" customHeight="1" x14ac:dyDescent="0.25"/>
    <row r="769" s="82" customFormat="1" ht="20.100000000000001" customHeight="1" x14ac:dyDescent="0.25"/>
    <row r="770" s="82" customFormat="1" ht="20.100000000000001" customHeight="1" x14ac:dyDescent="0.25"/>
    <row r="771" s="82" customFormat="1" ht="20.100000000000001" customHeight="1" x14ac:dyDescent="0.25"/>
    <row r="772" s="82" customFormat="1" ht="20.100000000000001" customHeight="1" x14ac:dyDescent="0.25"/>
    <row r="773" s="82" customFormat="1" ht="20.100000000000001" customHeight="1" x14ac:dyDescent="0.25"/>
    <row r="774" s="82" customFormat="1" ht="20.100000000000001" customHeight="1" x14ac:dyDescent="0.25"/>
    <row r="775" s="82" customFormat="1" ht="20.100000000000001" customHeight="1" x14ac:dyDescent="0.25"/>
    <row r="776" s="82" customFormat="1" ht="20.100000000000001" customHeight="1" x14ac:dyDescent="0.25"/>
    <row r="777" s="82" customFormat="1" ht="20.100000000000001" customHeight="1" x14ac:dyDescent="0.25"/>
    <row r="778" s="82" customFormat="1" ht="20.100000000000001" customHeight="1" x14ac:dyDescent="0.25"/>
    <row r="779" s="82" customFormat="1" ht="20.100000000000001" customHeight="1" x14ac:dyDescent="0.25"/>
    <row r="780" s="82" customFormat="1" ht="20.100000000000001" customHeight="1" x14ac:dyDescent="0.25"/>
    <row r="781" s="82" customFormat="1" ht="20.100000000000001" customHeight="1" x14ac:dyDescent="0.25"/>
    <row r="782" s="82" customFormat="1" ht="20.100000000000001" customHeight="1" x14ac:dyDescent="0.25"/>
    <row r="783" s="82" customFormat="1" ht="20.100000000000001" customHeight="1" x14ac:dyDescent="0.25"/>
    <row r="784" s="99" customFormat="1" ht="20.100000000000001" customHeight="1" x14ac:dyDescent="0.2"/>
    <row r="785" s="99" customFormat="1" ht="20.100000000000001" customHeight="1" x14ac:dyDescent="0.2"/>
    <row r="786" s="99" customFormat="1" ht="20.100000000000001" customHeight="1" x14ac:dyDescent="0.2"/>
    <row r="787" s="99" customFormat="1" ht="20.100000000000001" customHeight="1" x14ac:dyDescent="0.2"/>
    <row r="788" s="99" customFormat="1" ht="20.100000000000001" customHeight="1" x14ac:dyDescent="0.2"/>
    <row r="789" s="99" customFormat="1" ht="20.100000000000001" customHeight="1" x14ac:dyDescent="0.2"/>
    <row r="790" s="99" customFormat="1" ht="20.100000000000001" customHeight="1" x14ac:dyDescent="0.2"/>
    <row r="791" s="99" customFormat="1" ht="20.100000000000001" customHeight="1" x14ac:dyDescent="0.2"/>
    <row r="792" s="99" customFormat="1" ht="20.100000000000001" customHeight="1" x14ac:dyDescent="0.2"/>
    <row r="793" s="99" customFormat="1" ht="20.100000000000001" customHeight="1" x14ac:dyDescent="0.2"/>
    <row r="794" s="99" customFormat="1" ht="20.100000000000001" customHeight="1" x14ac:dyDescent="0.2"/>
    <row r="795" s="99" customFormat="1" ht="20.100000000000001" customHeight="1" x14ac:dyDescent="0.2"/>
    <row r="796" s="99" customFormat="1" ht="20.100000000000001" customHeight="1" x14ac:dyDescent="0.2"/>
    <row r="797" s="99" customFormat="1" ht="20.100000000000001" customHeight="1" x14ac:dyDescent="0.2"/>
    <row r="798" s="99" customFormat="1" ht="20.100000000000001" customHeight="1" x14ac:dyDescent="0.2"/>
    <row r="799" s="99" customFormat="1" ht="20.100000000000001" customHeight="1" x14ac:dyDescent="0.2"/>
    <row r="800" s="99" customFormat="1" ht="20.100000000000001" customHeight="1" x14ac:dyDescent="0.2"/>
    <row r="801" s="99" customFormat="1" ht="20.100000000000001" customHeight="1" x14ac:dyDescent="0.2"/>
    <row r="802" s="99" customFormat="1" ht="20.100000000000001" customHeight="1" x14ac:dyDescent="0.2"/>
    <row r="803" s="99" customFormat="1" ht="20.100000000000001" customHeight="1" x14ac:dyDescent="0.2"/>
    <row r="804" s="99" customFormat="1" ht="20.100000000000001" customHeight="1" x14ac:dyDescent="0.2"/>
    <row r="805" s="99" customFormat="1" ht="20.100000000000001" customHeight="1" x14ac:dyDescent="0.2"/>
    <row r="806" s="99" customFormat="1" ht="20.100000000000001" customHeight="1" x14ac:dyDescent="0.2"/>
    <row r="807" s="99" customFormat="1" ht="20.100000000000001" customHeight="1" x14ac:dyDescent="0.2"/>
    <row r="808" s="99" customFormat="1" ht="20.100000000000001" customHeight="1" x14ac:dyDescent="0.2"/>
    <row r="809" s="99" customFormat="1" ht="20.100000000000001" customHeight="1" x14ac:dyDescent="0.2"/>
    <row r="810" s="99" customFormat="1" ht="20.100000000000001" customHeight="1" x14ac:dyDescent="0.2"/>
    <row r="811" s="99" customFormat="1" ht="20.100000000000001" customHeight="1" x14ac:dyDescent="0.2"/>
    <row r="812" s="99" customFormat="1" ht="20.100000000000001" customHeight="1" x14ac:dyDescent="0.2"/>
    <row r="813" s="99" customFormat="1" ht="20.100000000000001" customHeight="1" x14ac:dyDescent="0.2"/>
    <row r="814" s="99" customFormat="1" ht="20.100000000000001" customHeight="1" x14ac:dyDescent="0.2"/>
    <row r="815" s="99" customFormat="1" ht="20.100000000000001" customHeight="1" x14ac:dyDescent="0.2"/>
    <row r="816" s="99" customFormat="1" ht="20.100000000000001" customHeight="1" x14ac:dyDescent="0.2"/>
    <row r="817" s="99" customFormat="1" ht="20.100000000000001" customHeight="1" x14ac:dyDescent="0.2"/>
    <row r="818" s="99" customFormat="1" ht="20.100000000000001" customHeight="1" x14ac:dyDescent="0.2"/>
    <row r="819" s="99" customFormat="1" ht="20.100000000000001" customHeight="1" x14ac:dyDescent="0.2"/>
    <row r="820" s="99" customFormat="1" ht="20.100000000000001" customHeight="1" x14ac:dyDescent="0.2"/>
    <row r="821" s="99" customFormat="1" ht="20.100000000000001" customHeight="1" x14ac:dyDescent="0.2"/>
    <row r="822" s="99" customFormat="1" ht="20.100000000000001" customHeight="1" x14ac:dyDescent="0.2"/>
    <row r="823" s="99" customFormat="1" ht="20.100000000000001" customHeight="1" x14ac:dyDescent="0.2"/>
    <row r="824" s="99" customFormat="1" ht="20.100000000000001" customHeight="1" x14ac:dyDescent="0.2"/>
    <row r="825" s="99" customFormat="1" ht="20.100000000000001" customHeight="1" x14ac:dyDescent="0.2"/>
    <row r="826" s="99" customFormat="1" ht="20.100000000000001" customHeight="1" x14ac:dyDescent="0.2"/>
    <row r="827" s="99" customFormat="1" ht="20.100000000000001" customHeight="1" x14ac:dyDescent="0.2"/>
    <row r="828" s="99" customFormat="1" ht="20.100000000000001" customHeight="1" x14ac:dyDescent="0.2"/>
    <row r="829" s="99" customFormat="1" ht="20.100000000000001" customHeight="1" x14ac:dyDescent="0.2"/>
    <row r="830" s="99" customFormat="1" ht="20.100000000000001" customHeight="1" x14ac:dyDescent="0.2"/>
    <row r="831" s="99" customFormat="1" ht="20.100000000000001" customHeight="1" x14ac:dyDescent="0.2"/>
    <row r="832" s="99" customFormat="1" ht="20.100000000000001" customHeight="1" x14ac:dyDescent="0.2"/>
    <row r="833" s="99" customFormat="1" ht="20.100000000000001" customHeight="1" x14ac:dyDescent="0.2"/>
    <row r="834" s="99" customFormat="1" ht="20.100000000000001" customHeight="1" x14ac:dyDescent="0.2"/>
    <row r="835" s="99" customFormat="1" ht="20.100000000000001" customHeight="1" x14ac:dyDescent="0.2"/>
    <row r="836" s="99" customFormat="1" ht="20.100000000000001" customHeight="1" x14ac:dyDescent="0.2"/>
    <row r="837" s="99" customFormat="1" ht="20.100000000000001" customHeight="1" x14ac:dyDescent="0.2"/>
    <row r="838" s="99" customFormat="1" ht="20.100000000000001" customHeight="1" x14ac:dyDescent="0.2"/>
    <row r="839" s="99" customFormat="1" ht="20.100000000000001" customHeight="1" x14ac:dyDescent="0.2"/>
    <row r="840" s="99" customFormat="1" ht="20.100000000000001" customHeight="1" x14ac:dyDescent="0.2"/>
    <row r="841" s="99" customFormat="1" ht="20.100000000000001" customHeight="1" x14ac:dyDescent="0.2"/>
    <row r="842" s="99" customFormat="1" ht="20.100000000000001" customHeight="1" x14ac:dyDescent="0.2"/>
    <row r="843" s="99" customFormat="1" ht="20.100000000000001" customHeight="1" x14ac:dyDescent="0.2"/>
    <row r="844" s="99" customFormat="1" ht="20.100000000000001" customHeight="1" x14ac:dyDescent="0.2"/>
    <row r="845" s="99" customFormat="1" ht="20.100000000000001" customHeight="1" x14ac:dyDescent="0.2"/>
    <row r="846" s="99" customFormat="1" ht="20.100000000000001" customHeight="1" x14ac:dyDescent="0.2"/>
    <row r="847" s="99" customFormat="1" ht="20.100000000000001" customHeight="1" x14ac:dyDescent="0.2"/>
    <row r="848" s="99" customFormat="1" ht="20.100000000000001" customHeight="1" x14ac:dyDescent="0.2"/>
    <row r="849" s="99" customFormat="1" ht="20.100000000000001" customHeight="1" x14ac:dyDescent="0.2"/>
    <row r="850" s="99" customFormat="1" ht="20.100000000000001" customHeight="1" x14ac:dyDescent="0.2"/>
    <row r="851" s="99" customFormat="1" ht="20.100000000000001" customHeight="1" x14ac:dyDescent="0.2"/>
    <row r="852" s="99" customFormat="1" ht="20.100000000000001" customHeight="1" x14ac:dyDescent="0.2"/>
    <row r="853" s="99" customFormat="1" ht="20.100000000000001" customHeight="1" x14ac:dyDescent="0.2"/>
    <row r="854" s="99" customFormat="1" ht="20.100000000000001" customHeight="1" x14ac:dyDescent="0.2"/>
    <row r="855" s="99" customFormat="1" ht="20.100000000000001" customHeight="1" x14ac:dyDescent="0.2"/>
    <row r="856" s="99" customFormat="1" ht="20.100000000000001" customHeight="1" x14ac:dyDescent="0.2"/>
    <row r="857" s="99" customFormat="1" ht="20.100000000000001" customHeight="1" x14ac:dyDescent="0.2"/>
    <row r="858" s="99" customFormat="1" ht="20.100000000000001" customHeight="1" x14ac:dyDescent="0.2"/>
    <row r="859" s="99" customFormat="1" ht="20.100000000000001" customHeight="1" x14ac:dyDescent="0.2"/>
    <row r="860" s="99" customFormat="1" ht="20.100000000000001" customHeight="1" x14ac:dyDescent="0.2"/>
    <row r="861" s="99" customFormat="1" ht="20.100000000000001" customHeight="1" x14ac:dyDescent="0.2"/>
    <row r="862" s="99" customFormat="1" ht="20.100000000000001" customHeight="1" x14ac:dyDescent="0.2"/>
    <row r="863" s="99" customFormat="1" ht="20.100000000000001" customHeight="1" x14ac:dyDescent="0.2"/>
    <row r="864" s="99" customFormat="1" ht="20.100000000000001" customHeight="1" x14ac:dyDescent="0.2"/>
    <row r="865" s="99" customFormat="1" ht="20.100000000000001" customHeight="1" x14ac:dyDescent="0.2"/>
    <row r="866" s="99" customFormat="1" ht="20.100000000000001" customHeight="1" x14ac:dyDescent="0.2"/>
    <row r="867" s="99" customFormat="1" ht="20.100000000000001" customHeight="1" x14ac:dyDescent="0.2"/>
    <row r="868" s="99" customFormat="1" ht="20.100000000000001" customHeight="1" x14ac:dyDescent="0.2"/>
    <row r="869" s="99" customFormat="1" ht="20.100000000000001" customHeight="1" x14ac:dyDescent="0.2"/>
    <row r="870" s="99" customFormat="1" ht="20.100000000000001" customHeight="1" x14ac:dyDescent="0.2"/>
    <row r="871" s="99" customFormat="1" ht="20.100000000000001" customHeight="1" x14ac:dyDescent="0.2"/>
    <row r="872" s="99" customFormat="1" ht="20.100000000000001" customHeight="1" x14ac:dyDescent="0.2"/>
    <row r="873" s="99" customFormat="1" ht="20.100000000000001" customHeight="1" x14ac:dyDescent="0.2"/>
    <row r="874" s="99" customFormat="1" ht="20.100000000000001" customHeight="1" x14ac:dyDescent="0.2"/>
    <row r="875" s="99" customFormat="1" ht="20.100000000000001" customHeight="1" x14ac:dyDescent="0.2"/>
    <row r="876" s="99" customFormat="1" ht="20.100000000000001" customHeight="1" x14ac:dyDescent="0.2"/>
    <row r="877" s="99" customFormat="1" ht="20.100000000000001" customHeight="1" x14ac:dyDescent="0.2"/>
    <row r="878" s="99" customFormat="1" ht="20.100000000000001" customHeight="1" x14ac:dyDescent="0.2"/>
    <row r="879" s="99" customFormat="1" ht="20.100000000000001" customHeight="1" x14ac:dyDescent="0.2"/>
    <row r="880" s="99" customFormat="1" ht="20.100000000000001" customHeight="1" x14ac:dyDescent="0.2"/>
    <row r="881" s="99" customFormat="1" ht="20.100000000000001" customHeight="1" x14ac:dyDescent="0.2"/>
    <row r="882" s="99" customFormat="1" ht="20.100000000000001" customHeight="1" x14ac:dyDescent="0.2"/>
    <row r="883" s="99" customFormat="1" ht="20.100000000000001" customHeight="1" x14ac:dyDescent="0.2"/>
    <row r="884" s="99" customFormat="1" ht="20.100000000000001" customHeight="1" x14ac:dyDescent="0.2"/>
    <row r="885" s="99" customFormat="1" ht="20.100000000000001" customHeight="1" x14ac:dyDescent="0.2"/>
    <row r="886" s="99" customFormat="1" ht="20.100000000000001" customHeight="1" x14ac:dyDescent="0.2"/>
    <row r="887" s="99" customFormat="1" ht="20.100000000000001" customHeight="1" x14ac:dyDescent="0.2"/>
    <row r="888" s="99" customFormat="1" ht="20.100000000000001" customHeight="1" x14ac:dyDescent="0.2"/>
    <row r="889" s="99" customFormat="1" ht="20.100000000000001" customHeight="1" x14ac:dyDescent="0.2"/>
    <row r="890" s="99" customFormat="1" ht="20.100000000000001" customHeight="1" x14ac:dyDescent="0.2"/>
    <row r="891" s="99" customFormat="1" ht="20.100000000000001" customHeight="1" x14ac:dyDescent="0.2"/>
    <row r="892" s="99" customFormat="1" ht="20.100000000000001" customHeight="1" x14ac:dyDescent="0.2"/>
    <row r="893" s="99" customFormat="1" ht="20.100000000000001" customHeight="1" x14ac:dyDescent="0.2"/>
    <row r="894" s="99" customFormat="1" ht="20.100000000000001" customHeight="1" x14ac:dyDescent="0.2"/>
    <row r="895" s="99" customFormat="1" ht="20.100000000000001" customHeight="1" x14ac:dyDescent="0.2"/>
    <row r="896" s="99" customFormat="1" ht="20.100000000000001" customHeight="1" x14ac:dyDescent="0.2"/>
    <row r="897" s="99" customFormat="1" ht="20.100000000000001" customHeight="1" x14ac:dyDescent="0.2"/>
    <row r="898" s="99" customFormat="1" ht="20.100000000000001" customHeight="1" x14ac:dyDescent="0.2"/>
    <row r="899" s="99" customFormat="1" ht="20.100000000000001" customHeight="1" x14ac:dyDescent="0.2"/>
    <row r="900" s="99" customFormat="1" ht="20.100000000000001" customHeight="1" x14ac:dyDescent="0.2"/>
    <row r="901" s="99" customFormat="1" ht="20.100000000000001" customHeight="1" x14ac:dyDescent="0.2"/>
    <row r="902" s="99" customFormat="1" ht="20.100000000000001" customHeight="1" x14ac:dyDescent="0.2"/>
    <row r="903" s="99" customFormat="1" ht="20.100000000000001" customHeight="1" x14ac:dyDescent="0.2"/>
    <row r="904" s="99" customFormat="1" ht="20.100000000000001" customHeight="1" x14ac:dyDescent="0.2"/>
    <row r="905" s="99" customFormat="1" ht="20.100000000000001" customHeight="1" x14ac:dyDescent="0.2"/>
    <row r="906" s="99" customFormat="1" ht="20.100000000000001" customHeight="1" x14ac:dyDescent="0.2"/>
    <row r="907" s="99" customFormat="1" ht="20.100000000000001" customHeight="1" x14ac:dyDescent="0.2"/>
    <row r="908" s="99" customFormat="1" ht="20.100000000000001" customHeight="1" x14ac:dyDescent="0.2"/>
    <row r="909" s="99" customFormat="1" ht="20.100000000000001" customHeight="1" x14ac:dyDescent="0.2"/>
    <row r="910" s="99" customFormat="1" ht="20.100000000000001" customHeight="1" x14ac:dyDescent="0.2"/>
    <row r="911" s="99" customFormat="1" ht="20.100000000000001" customHeight="1" x14ac:dyDescent="0.2"/>
    <row r="912" s="99" customFormat="1" ht="20.100000000000001" customHeight="1" x14ac:dyDescent="0.2"/>
    <row r="913" s="99" customFormat="1" ht="20.100000000000001" customHeight="1" x14ac:dyDescent="0.2"/>
    <row r="914" s="99" customFormat="1" ht="20.100000000000001" customHeight="1" x14ac:dyDescent="0.2"/>
    <row r="915" s="99" customFormat="1" ht="20.100000000000001" customHeight="1" x14ac:dyDescent="0.2"/>
    <row r="916" s="99" customFormat="1" ht="20.100000000000001" customHeight="1" x14ac:dyDescent="0.2"/>
    <row r="917" s="99" customFormat="1" ht="20.100000000000001" customHeight="1" x14ac:dyDescent="0.2"/>
    <row r="918" s="99" customFormat="1" ht="20.100000000000001" customHeight="1" x14ac:dyDescent="0.2"/>
    <row r="919" s="99" customFormat="1" ht="20.100000000000001" customHeight="1" x14ac:dyDescent="0.2"/>
    <row r="920" s="99" customFormat="1" ht="20.100000000000001" customHeight="1" x14ac:dyDescent="0.2"/>
    <row r="921" s="99" customFormat="1" ht="20.100000000000001" customHeight="1" x14ac:dyDescent="0.2"/>
    <row r="922" s="99" customFormat="1" ht="20.100000000000001" customHeight="1" x14ac:dyDescent="0.2"/>
    <row r="923" s="99" customFormat="1" ht="20.100000000000001" customHeight="1" x14ac:dyDescent="0.2"/>
    <row r="924" s="99" customFormat="1" ht="20.100000000000001" customHeight="1" x14ac:dyDescent="0.2"/>
    <row r="925" s="99" customFormat="1" ht="20.100000000000001" customHeight="1" x14ac:dyDescent="0.2"/>
    <row r="926" s="99" customFormat="1" ht="20.100000000000001" customHeight="1" x14ac:dyDescent="0.2"/>
    <row r="927" s="99" customFormat="1" ht="20.100000000000001" customHeight="1" x14ac:dyDescent="0.2"/>
    <row r="928" s="99" customFormat="1" ht="20.100000000000001" customHeight="1" x14ac:dyDescent="0.2"/>
    <row r="929" s="99" customFormat="1" ht="20.100000000000001" customHeight="1" x14ac:dyDescent="0.2"/>
    <row r="930" s="99" customFormat="1" ht="20.100000000000001" customHeight="1" x14ac:dyDescent="0.2"/>
    <row r="931" s="99" customFormat="1" ht="20.100000000000001" customHeight="1" x14ac:dyDescent="0.2"/>
    <row r="932" s="99" customFormat="1" ht="20.100000000000001" customHeight="1" x14ac:dyDescent="0.2"/>
    <row r="933" s="99" customFormat="1" ht="20.100000000000001" customHeight="1" x14ac:dyDescent="0.2"/>
    <row r="934" s="99" customFormat="1" ht="20.100000000000001" customHeight="1" x14ac:dyDescent="0.2"/>
    <row r="935" s="99" customFormat="1" ht="20.100000000000001" customHeight="1" x14ac:dyDescent="0.2"/>
    <row r="936" s="99" customFormat="1" ht="20.100000000000001" customHeight="1" x14ac:dyDescent="0.2"/>
    <row r="937" s="99" customFormat="1" ht="20.100000000000001" customHeight="1" x14ac:dyDescent="0.2"/>
    <row r="938" s="99" customFormat="1" ht="20.100000000000001" customHeight="1" x14ac:dyDescent="0.2"/>
    <row r="939" s="99" customFormat="1" ht="20.100000000000001" customHeight="1" x14ac:dyDescent="0.2"/>
    <row r="940" s="99" customFormat="1" ht="20.100000000000001" customHeight="1" x14ac:dyDescent="0.2"/>
    <row r="941" s="99" customFormat="1" ht="20.100000000000001" customHeight="1" x14ac:dyDescent="0.2"/>
    <row r="942" s="99" customFormat="1" ht="20.100000000000001" customHeight="1" x14ac:dyDescent="0.2"/>
    <row r="943" s="99" customFormat="1" ht="20.100000000000001" customHeight="1" x14ac:dyDescent="0.2"/>
    <row r="944" s="99" customFormat="1" ht="20.100000000000001" customHeight="1" x14ac:dyDescent="0.2"/>
    <row r="945" s="99" customFormat="1" ht="20.100000000000001" customHeight="1" x14ac:dyDescent="0.2"/>
    <row r="946" s="99" customFormat="1" ht="20.100000000000001" customHeight="1" x14ac:dyDescent="0.2"/>
    <row r="947" s="99" customFormat="1" ht="20.100000000000001" customHeight="1" x14ac:dyDescent="0.2"/>
    <row r="948" s="99" customFormat="1" ht="20.100000000000001" customHeight="1" x14ac:dyDescent="0.2"/>
    <row r="949" s="99" customFormat="1" ht="20.100000000000001" customHeight="1" x14ac:dyDescent="0.2"/>
    <row r="950" s="99" customFormat="1" ht="20.100000000000001" customHeight="1" x14ac:dyDescent="0.2"/>
    <row r="951" s="99" customFormat="1" ht="20.100000000000001" customHeight="1" x14ac:dyDescent="0.2"/>
    <row r="952" s="99" customFormat="1" ht="20.100000000000001" customHeight="1" x14ac:dyDescent="0.2"/>
    <row r="953" s="99" customFormat="1" ht="20.100000000000001" customHeight="1" x14ac:dyDescent="0.2"/>
    <row r="954" s="99" customFormat="1" ht="20.100000000000001" customHeight="1" x14ac:dyDescent="0.2"/>
    <row r="955" s="99" customFormat="1" ht="20.100000000000001" customHeight="1" x14ac:dyDescent="0.2"/>
    <row r="956" s="99" customFormat="1" ht="20.100000000000001" customHeight="1" x14ac:dyDescent="0.2"/>
    <row r="957" s="99" customFormat="1" ht="20.100000000000001" customHeight="1" x14ac:dyDescent="0.2"/>
    <row r="958" s="99" customFormat="1" ht="20.100000000000001" customHeight="1" x14ac:dyDescent="0.2"/>
    <row r="959" s="99" customFormat="1" ht="20.100000000000001" customHeight="1" x14ac:dyDescent="0.2"/>
    <row r="960" s="99" customFormat="1" ht="20.100000000000001" customHeight="1" x14ac:dyDescent="0.2"/>
    <row r="961" s="99" customFormat="1" ht="20.100000000000001" customHeight="1" x14ac:dyDescent="0.2"/>
    <row r="962" s="99" customFormat="1" ht="20.100000000000001" customHeight="1" x14ac:dyDescent="0.2"/>
    <row r="963" s="99" customFormat="1" ht="20.100000000000001" customHeight="1" x14ac:dyDescent="0.2"/>
    <row r="964" s="99" customFormat="1" ht="20.100000000000001" customHeight="1" x14ac:dyDescent="0.2"/>
    <row r="965" s="99" customFormat="1" ht="20.100000000000001" customHeight="1" x14ac:dyDescent="0.2"/>
    <row r="966" s="99" customFormat="1" ht="20.100000000000001" customHeight="1" x14ac:dyDescent="0.2"/>
    <row r="967" s="99" customFormat="1" ht="20.100000000000001" customHeight="1" x14ac:dyDescent="0.2"/>
    <row r="968" s="99" customFormat="1" ht="20.100000000000001" customHeight="1" x14ac:dyDescent="0.2"/>
    <row r="969" s="99" customFormat="1" ht="20.100000000000001" customHeight="1" x14ac:dyDescent="0.2"/>
    <row r="970" s="99" customFormat="1" ht="20.100000000000001" customHeight="1" x14ac:dyDescent="0.2"/>
    <row r="971" s="99" customFormat="1" ht="20.100000000000001" customHeight="1" x14ac:dyDescent="0.2"/>
    <row r="972" s="99" customFormat="1" ht="20.100000000000001" customHeight="1" x14ac:dyDescent="0.2"/>
    <row r="973" s="99" customFormat="1" ht="20.100000000000001" customHeight="1" x14ac:dyDescent="0.2"/>
    <row r="974" s="99" customFormat="1" ht="20.100000000000001" customHeight="1" x14ac:dyDescent="0.2"/>
    <row r="975" s="99" customFormat="1" ht="20.100000000000001" customHeight="1" x14ac:dyDescent="0.2"/>
    <row r="976" s="99" customFormat="1" ht="20.100000000000001" customHeight="1" x14ac:dyDescent="0.2"/>
    <row r="977" s="99" customFormat="1" ht="20.100000000000001" customHeight="1" x14ac:dyDescent="0.2"/>
    <row r="978" s="99" customFormat="1" ht="20.100000000000001" customHeight="1" x14ac:dyDescent="0.2"/>
    <row r="979" s="99" customFormat="1" ht="20.100000000000001" customHeight="1" x14ac:dyDescent="0.2"/>
    <row r="980" s="99" customFormat="1" ht="20.100000000000001" customHeight="1" x14ac:dyDescent="0.2"/>
    <row r="981" s="99" customFormat="1" ht="20.100000000000001" customHeight="1" x14ac:dyDescent="0.2"/>
    <row r="982" s="99" customFormat="1" ht="20.100000000000001" customHeight="1" x14ac:dyDescent="0.2"/>
    <row r="983" s="99" customFormat="1" ht="20.100000000000001" customHeight="1" x14ac:dyDescent="0.2"/>
    <row r="984" s="99" customFormat="1" ht="20.100000000000001" customHeight="1" x14ac:dyDescent="0.2"/>
    <row r="985" s="99" customFormat="1" ht="20.100000000000001" customHeight="1" x14ac:dyDescent="0.2"/>
    <row r="986" s="99" customFormat="1" ht="20.100000000000001" customHeight="1" x14ac:dyDescent="0.2"/>
    <row r="987" s="99" customFormat="1" ht="20.100000000000001" customHeight="1" x14ac:dyDescent="0.2"/>
    <row r="988" s="99" customFormat="1" ht="20.100000000000001" customHeight="1" x14ac:dyDescent="0.2"/>
    <row r="989" s="99" customFormat="1" ht="20.100000000000001" customHeight="1" x14ac:dyDescent="0.2"/>
    <row r="990" s="99" customFormat="1" ht="20.100000000000001" customHeight="1" x14ac:dyDescent="0.2"/>
    <row r="991" s="99" customFormat="1" ht="20.100000000000001" customHeight="1" x14ac:dyDescent="0.2"/>
    <row r="992" s="99" customFormat="1" ht="20.100000000000001" customHeight="1" x14ac:dyDescent="0.2"/>
    <row r="993" s="99" customFormat="1" ht="20.100000000000001" customHeight="1" x14ac:dyDescent="0.2"/>
    <row r="994" s="99" customFormat="1" ht="20.100000000000001" customHeight="1" x14ac:dyDescent="0.2"/>
    <row r="995" s="99" customFormat="1" ht="20.100000000000001" customHeight="1" x14ac:dyDescent="0.2"/>
    <row r="996" s="99" customFormat="1" ht="20.100000000000001" customHeight="1" x14ac:dyDescent="0.2"/>
    <row r="997" s="99" customFormat="1" ht="20.100000000000001" customHeight="1" x14ac:dyDescent="0.2"/>
    <row r="998" s="99" customFormat="1" ht="20.100000000000001" customHeight="1" x14ac:dyDescent="0.2"/>
    <row r="999" s="99" customFormat="1" ht="20.100000000000001" customHeight="1" x14ac:dyDescent="0.2"/>
    <row r="1000" s="99" customFormat="1" ht="20.100000000000001" customHeight="1" x14ac:dyDescent="0.2"/>
    <row r="1001" s="99" customFormat="1" ht="20.100000000000001" customHeight="1" x14ac:dyDescent="0.2"/>
    <row r="1002" s="99" customFormat="1" ht="20.100000000000001" customHeight="1" x14ac:dyDescent="0.2"/>
    <row r="1003" s="99" customFormat="1" ht="20.100000000000001" customHeight="1" x14ac:dyDescent="0.2"/>
    <row r="1004" s="99" customFormat="1" ht="20.100000000000001" customHeight="1" x14ac:dyDescent="0.2"/>
    <row r="1005" s="99" customFormat="1" ht="20.100000000000001" customHeight="1" x14ac:dyDescent="0.2"/>
    <row r="1006" s="99" customFormat="1" ht="20.100000000000001" customHeight="1" x14ac:dyDescent="0.2"/>
  </sheetData>
  <mergeCells count="12">
    <mergeCell ref="J32:K32"/>
    <mergeCell ref="Y32:AA32"/>
    <mergeCell ref="J48:K48"/>
    <mergeCell ref="Y48:AA48"/>
    <mergeCell ref="L4:M4"/>
    <mergeCell ref="AB4:AC4"/>
    <mergeCell ref="AF4:AG4"/>
    <mergeCell ref="AI4:AJ4"/>
    <mergeCell ref="L5:M5"/>
    <mergeCell ref="AB5:AC5"/>
    <mergeCell ref="AF5:AG5"/>
    <mergeCell ref="AI5:AJ5"/>
  </mergeCells>
  <pageMargins left="0.7" right="0.7" top="0.7" bottom="0.7" header="0.5" footer="0.25"/>
  <pageSetup scale="97" orientation="landscape" r:id="rId1"/>
  <headerFooter alignWithMargins="0">
    <oddFooter>&amp;L&amp;"Arial Narrow,Regular"BLS&amp;C&amp;"Arial Narrow,Regular"Utah System of Higher Education&amp;R&amp;"Arial Narrow,Regular"Page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14"/>
  <sheetViews>
    <sheetView view="pageBreakPreview" zoomScaleNormal="100" zoomScaleSheetLayoutView="100" workbookViewId="0">
      <selection activeCell="G172" sqref="G172"/>
    </sheetView>
  </sheetViews>
  <sheetFormatPr defaultRowHeight="15" x14ac:dyDescent="0.3"/>
  <cols>
    <col min="1" max="1" width="3.7109375" customWidth="1"/>
    <col min="2" max="2" width="29.42578125" bestFit="1" customWidth="1"/>
    <col min="3" max="3" width="14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  <col min="10" max="10" width="3.7109375" customWidth="1"/>
    <col min="11" max="11" width="17.7109375" customWidth="1"/>
    <col min="12" max="12" width="6.7109375" customWidth="1"/>
    <col min="13" max="13" width="13.5703125" bestFit="1" customWidth="1"/>
    <col min="14" max="14" width="14" bestFit="1" customWidth="1"/>
    <col min="15" max="15" width="11" bestFit="1" customWidth="1"/>
    <col min="16" max="16" width="12.85546875" bestFit="1" customWidth="1"/>
    <col min="23" max="23" width="10" bestFit="1" customWidth="1"/>
    <col min="28" max="28" width="9.28515625" bestFit="1" customWidth="1"/>
    <col min="257" max="257" width="3.7109375" customWidth="1"/>
    <col min="258" max="258" width="29.42578125" bestFit="1" customWidth="1"/>
    <col min="259" max="259" width="14" bestFit="1" customWidth="1"/>
    <col min="260" max="260" width="3.7109375" customWidth="1"/>
    <col min="261" max="261" width="12.7109375" customWidth="1"/>
    <col min="262" max="262" width="3.7109375" customWidth="1"/>
    <col min="263" max="263" width="12.7109375" customWidth="1"/>
    <col min="264" max="264" width="3.7109375" customWidth="1"/>
    <col min="265" max="265" width="12.7109375" customWidth="1"/>
    <col min="266" max="266" width="3.7109375" customWidth="1"/>
    <col min="267" max="267" width="16.140625" bestFit="1" customWidth="1"/>
    <col min="268" max="268" width="8.42578125" customWidth="1"/>
    <col min="270" max="270" width="10" bestFit="1" customWidth="1"/>
    <col min="271" max="272" width="11" bestFit="1" customWidth="1"/>
    <col min="513" max="513" width="3.7109375" customWidth="1"/>
    <col min="514" max="514" width="29.42578125" bestFit="1" customWidth="1"/>
    <col min="515" max="515" width="14" bestFit="1" customWidth="1"/>
    <col min="516" max="516" width="3.7109375" customWidth="1"/>
    <col min="517" max="517" width="12.7109375" customWidth="1"/>
    <col min="518" max="518" width="3.7109375" customWidth="1"/>
    <col min="519" max="519" width="12.7109375" customWidth="1"/>
    <col min="520" max="520" width="3.7109375" customWidth="1"/>
    <col min="521" max="521" width="12.7109375" customWidth="1"/>
    <col min="522" max="522" width="3.7109375" customWidth="1"/>
    <col min="523" max="523" width="16.140625" bestFit="1" customWidth="1"/>
    <col min="524" max="524" width="8.42578125" customWidth="1"/>
    <col min="526" max="526" width="10" bestFit="1" customWidth="1"/>
    <col min="527" max="528" width="11" bestFit="1" customWidth="1"/>
    <col min="769" max="769" width="3.7109375" customWidth="1"/>
    <col min="770" max="770" width="29.42578125" bestFit="1" customWidth="1"/>
    <col min="771" max="771" width="14" bestFit="1" customWidth="1"/>
    <col min="772" max="772" width="3.7109375" customWidth="1"/>
    <col min="773" max="773" width="12.7109375" customWidth="1"/>
    <col min="774" max="774" width="3.7109375" customWidth="1"/>
    <col min="775" max="775" width="12.7109375" customWidth="1"/>
    <col min="776" max="776" width="3.7109375" customWidth="1"/>
    <col min="777" max="777" width="12.7109375" customWidth="1"/>
    <col min="778" max="778" width="3.7109375" customWidth="1"/>
    <col min="779" max="779" width="16.140625" bestFit="1" customWidth="1"/>
    <col min="780" max="780" width="8.42578125" customWidth="1"/>
    <col min="782" max="782" width="10" bestFit="1" customWidth="1"/>
    <col min="783" max="784" width="11" bestFit="1" customWidth="1"/>
    <col min="1025" max="1025" width="3.7109375" customWidth="1"/>
    <col min="1026" max="1026" width="29.42578125" bestFit="1" customWidth="1"/>
    <col min="1027" max="1027" width="14" bestFit="1" customWidth="1"/>
    <col min="1028" max="1028" width="3.7109375" customWidth="1"/>
    <col min="1029" max="1029" width="12.7109375" customWidth="1"/>
    <col min="1030" max="1030" width="3.7109375" customWidth="1"/>
    <col min="1031" max="1031" width="12.7109375" customWidth="1"/>
    <col min="1032" max="1032" width="3.7109375" customWidth="1"/>
    <col min="1033" max="1033" width="12.7109375" customWidth="1"/>
    <col min="1034" max="1034" width="3.7109375" customWidth="1"/>
    <col min="1035" max="1035" width="16.140625" bestFit="1" customWidth="1"/>
    <col min="1036" max="1036" width="8.42578125" customWidth="1"/>
    <col min="1038" max="1038" width="10" bestFit="1" customWidth="1"/>
    <col min="1039" max="1040" width="11" bestFit="1" customWidth="1"/>
    <col min="1281" max="1281" width="3.7109375" customWidth="1"/>
    <col min="1282" max="1282" width="29.42578125" bestFit="1" customWidth="1"/>
    <col min="1283" max="1283" width="14" bestFit="1" customWidth="1"/>
    <col min="1284" max="1284" width="3.7109375" customWidth="1"/>
    <col min="1285" max="1285" width="12.7109375" customWidth="1"/>
    <col min="1286" max="1286" width="3.7109375" customWidth="1"/>
    <col min="1287" max="1287" width="12.7109375" customWidth="1"/>
    <col min="1288" max="1288" width="3.7109375" customWidth="1"/>
    <col min="1289" max="1289" width="12.7109375" customWidth="1"/>
    <col min="1290" max="1290" width="3.7109375" customWidth="1"/>
    <col min="1291" max="1291" width="16.140625" bestFit="1" customWidth="1"/>
    <col min="1292" max="1292" width="8.42578125" customWidth="1"/>
    <col min="1294" max="1294" width="10" bestFit="1" customWidth="1"/>
    <col min="1295" max="1296" width="11" bestFit="1" customWidth="1"/>
    <col min="1537" max="1537" width="3.7109375" customWidth="1"/>
    <col min="1538" max="1538" width="29.42578125" bestFit="1" customWidth="1"/>
    <col min="1539" max="1539" width="14" bestFit="1" customWidth="1"/>
    <col min="1540" max="1540" width="3.7109375" customWidth="1"/>
    <col min="1541" max="1541" width="12.7109375" customWidth="1"/>
    <col min="1542" max="1542" width="3.7109375" customWidth="1"/>
    <col min="1543" max="1543" width="12.7109375" customWidth="1"/>
    <col min="1544" max="1544" width="3.7109375" customWidth="1"/>
    <col min="1545" max="1545" width="12.7109375" customWidth="1"/>
    <col min="1546" max="1546" width="3.7109375" customWidth="1"/>
    <col min="1547" max="1547" width="16.140625" bestFit="1" customWidth="1"/>
    <col min="1548" max="1548" width="8.42578125" customWidth="1"/>
    <col min="1550" max="1550" width="10" bestFit="1" customWidth="1"/>
    <col min="1551" max="1552" width="11" bestFit="1" customWidth="1"/>
    <col min="1793" max="1793" width="3.7109375" customWidth="1"/>
    <col min="1794" max="1794" width="29.42578125" bestFit="1" customWidth="1"/>
    <col min="1795" max="1795" width="14" bestFit="1" customWidth="1"/>
    <col min="1796" max="1796" width="3.7109375" customWidth="1"/>
    <col min="1797" max="1797" width="12.7109375" customWidth="1"/>
    <col min="1798" max="1798" width="3.7109375" customWidth="1"/>
    <col min="1799" max="1799" width="12.7109375" customWidth="1"/>
    <col min="1800" max="1800" width="3.7109375" customWidth="1"/>
    <col min="1801" max="1801" width="12.7109375" customWidth="1"/>
    <col min="1802" max="1802" width="3.7109375" customWidth="1"/>
    <col min="1803" max="1803" width="16.140625" bestFit="1" customWidth="1"/>
    <col min="1804" max="1804" width="8.42578125" customWidth="1"/>
    <col min="1806" max="1806" width="10" bestFit="1" customWidth="1"/>
    <col min="1807" max="1808" width="11" bestFit="1" customWidth="1"/>
    <col min="2049" max="2049" width="3.7109375" customWidth="1"/>
    <col min="2050" max="2050" width="29.42578125" bestFit="1" customWidth="1"/>
    <col min="2051" max="2051" width="14" bestFit="1" customWidth="1"/>
    <col min="2052" max="2052" width="3.7109375" customWidth="1"/>
    <col min="2053" max="2053" width="12.7109375" customWidth="1"/>
    <col min="2054" max="2054" width="3.7109375" customWidth="1"/>
    <col min="2055" max="2055" width="12.7109375" customWidth="1"/>
    <col min="2056" max="2056" width="3.7109375" customWidth="1"/>
    <col min="2057" max="2057" width="12.7109375" customWidth="1"/>
    <col min="2058" max="2058" width="3.7109375" customWidth="1"/>
    <col min="2059" max="2059" width="16.140625" bestFit="1" customWidth="1"/>
    <col min="2060" max="2060" width="8.42578125" customWidth="1"/>
    <col min="2062" max="2062" width="10" bestFit="1" customWidth="1"/>
    <col min="2063" max="2064" width="11" bestFit="1" customWidth="1"/>
    <col min="2305" max="2305" width="3.7109375" customWidth="1"/>
    <col min="2306" max="2306" width="29.42578125" bestFit="1" customWidth="1"/>
    <col min="2307" max="2307" width="14" bestFit="1" customWidth="1"/>
    <col min="2308" max="2308" width="3.7109375" customWidth="1"/>
    <col min="2309" max="2309" width="12.7109375" customWidth="1"/>
    <col min="2310" max="2310" width="3.7109375" customWidth="1"/>
    <col min="2311" max="2311" width="12.7109375" customWidth="1"/>
    <col min="2312" max="2312" width="3.7109375" customWidth="1"/>
    <col min="2313" max="2313" width="12.7109375" customWidth="1"/>
    <col min="2314" max="2314" width="3.7109375" customWidth="1"/>
    <col min="2315" max="2315" width="16.140625" bestFit="1" customWidth="1"/>
    <col min="2316" max="2316" width="8.42578125" customWidth="1"/>
    <col min="2318" max="2318" width="10" bestFit="1" customWidth="1"/>
    <col min="2319" max="2320" width="11" bestFit="1" customWidth="1"/>
    <col min="2561" max="2561" width="3.7109375" customWidth="1"/>
    <col min="2562" max="2562" width="29.42578125" bestFit="1" customWidth="1"/>
    <col min="2563" max="2563" width="14" bestFit="1" customWidth="1"/>
    <col min="2564" max="2564" width="3.7109375" customWidth="1"/>
    <col min="2565" max="2565" width="12.7109375" customWidth="1"/>
    <col min="2566" max="2566" width="3.7109375" customWidth="1"/>
    <col min="2567" max="2567" width="12.7109375" customWidth="1"/>
    <col min="2568" max="2568" width="3.7109375" customWidth="1"/>
    <col min="2569" max="2569" width="12.7109375" customWidth="1"/>
    <col min="2570" max="2570" width="3.7109375" customWidth="1"/>
    <col min="2571" max="2571" width="16.140625" bestFit="1" customWidth="1"/>
    <col min="2572" max="2572" width="8.42578125" customWidth="1"/>
    <col min="2574" max="2574" width="10" bestFit="1" customWidth="1"/>
    <col min="2575" max="2576" width="11" bestFit="1" customWidth="1"/>
    <col min="2817" max="2817" width="3.7109375" customWidth="1"/>
    <col min="2818" max="2818" width="29.42578125" bestFit="1" customWidth="1"/>
    <col min="2819" max="2819" width="14" bestFit="1" customWidth="1"/>
    <col min="2820" max="2820" width="3.7109375" customWidth="1"/>
    <col min="2821" max="2821" width="12.7109375" customWidth="1"/>
    <col min="2822" max="2822" width="3.7109375" customWidth="1"/>
    <col min="2823" max="2823" width="12.7109375" customWidth="1"/>
    <col min="2824" max="2824" width="3.7109375" customWidth="1"/>
    <col min="2825" max="2825" width="12.7109375" customWidth="1"/>
    <col min="2826" max="2826" width="3.7109375" customWidth="1"/>
    <col min="2827" max="2827" width="16.140625" bestFit="1" customWidth="1"/>
    <col min="2828" max="2828" width="8.42578125" customWidth="1"/>
    <col min="2830" max="2830" width="10" bestFit="1" customWidth="1"/>
    <col min="2831" max="2832" width="11" bestFit="1" customWidth="1"/>
    <col min="3073" max="3073" width="3.7109375" customWidth="1"/>
    <col min="3074" max="3074" width="29.42578125" bestFit="1" customWidth="1"/>
    <col min="3075" max="3075" width="14" bestFit="1" customWidth="1"/>
    <col min="3076" max="3076" width="3.7109375" customWidth="1"/>
    <col min="3077" max="3077" width="12.7109375" customWidth="1"/>
    <col min="3078" max="3078" width="3.7109375" customWidth="1"/>
    <col min="3079" max="3079" width="12.7109375" customWidth="1"/>
    <col min="3080" max="3080" width="3.7109375" customWidth="1"/>
    <col min="3081" max="3081" width="12.7109375" customWidth="1"/>
    <col min="3082" max="3082" width="3.7109375" customWidth="1"/>
    <col min="3083" max="3083" width="16.140625" bestFit="1" customWidth="1"/>
    <col min="3084" max="3084" width="8.42578125" customWidth="1"/>
    <col min="3086" max="3086" width="10" bestFit="1" customWidth="1"/>
    <col min="3087" max="3088" width="11" bestFit="1" customWidth="1"/>
    <col min="3329" max="3329" width="3.7109375" customWidth="1"/>
    <col min="3330" max="3330" width="29.42578125" bestFit="1" customWidth="1"/>
    <col min="3331" max="3331" width="14" bestFit="1" customWidth="1"/>
    <col min="3332" max="3332" width="3.7109375" customWidth="1"/>
    <col min="3333" max="3333" width="12.7109375" customWidth="1"/>
    <col min="3334" max="3334" width="3.7109375" customWidth="1"/>
    <col min="3335" max="3335" width="12.7109375" customWidth="1"/>
    <col min="3336" max="3336" width="3.7109375" customWidth="1"/>
    <col min="3337" max="3337" width="12.7109375" customWidth="1"/>
    <col min="3338" max="3338" width="3.7109375" customWidth="1"/>
    <col min="3339" max="3339" width="16.140625" bestFit="1" customWidth="1"/>
    <col min="3340" max="3340" width="8.42578125" customWidth="1"/>
    <col min="3342" max="3342" width="10" bestFit="1" customWidth="1"/>
    <col min="3343" max="3344" width="11" bestFit="1" customWidth="1"/>
    <col min="3585" max="3585" width="3.7109375" customWidth="1"/>
    <col min="3586" max="3586" width="29.42578125" bestFit="1" customWidth="1"/>
    <col min="3587" max="3587" width="14" bestFit="1" customWidth="1"/>
    <col min="3588" max="3588" width="3.7109375" customWidth="1"/>
    <col min="3589" max="3589" width="12.7109375" customWidth="1"/>
    <col min="3590" max="3590" width="3.7109375" customWidth="1"/>
    <col min="3591" max="3591" width="12.7109375" customWidth="1"/>
    <col min="3592" max="3592" width="3.7109375" customWidth="1"/>
    <col min="3593" max="3593" width="12.7109375" customWidth="1"/>
    <col min="3594" max="3594" width="3.7109375" customWidth="1"/>
    <col min="3595" max="3595" width="16.140625" bestFit="1" customWidth="1"/>
    <col min="3596" max="3596" width="8.42578125" customWidth="1"/>
    <col min="3598" max="3598" width="10" bestFit="1" customWidth="1"/>
    <col min="3599" max="3600" width="11" bestFit="1" customWidth="1"/>
    <col min="3841" max="3841" width="3.7109375" customWidth="1"/>
    <col min="3842" max="3842" width="29.42578125" bestFit="1" customWidth="1"/>
    <col min="3843" max="3843" width="14" bestFit="1" customWidth="1"/>
    <col min="3844" max="3844" width="3.7109375" customWidth="1"/>
    <col min="3845" max="3845" width="12.7109375" customWidth="1"/>
    <col min="3846" max="3846" width="3.7109375" customWidth="1"/>
    <col min="3847" max="3847" width="12.7109375" customWidth="1"/>
    <col min="3848" max="3848" width="3.7109375" customWidth="1"/>
    <col min="3849" max="3849" width="12.7109375" customWidth="1"/>
    <col min="3850" max="3850" width="3.7109375" customWidth="1"/>
    <col min="3851" max="3851" width="16.140625" bestFit="1" customWidth="1"/>
    <col min="3852" max="3852" width="8.42578125" customWidth="1"/>
    <col min="3854" max="3854" width="10" bestFit="1" customWidth="1"/>
    <col min="3855" max="3856" width="11" bestFit="1" customWidth="1"/>
    <col min="4097" max="4097" width="3.7109375" customWidth="1"/>
    <col min="4098" max="4098" width="29.42578125" bestFit="1" customWidth="1"/>
    <col min="4099" max="4099" width="14" bestFit="1" customWidth="1"/>
    <col min="4100" max="4100" width="3.7109375" customWidth="1"/>
    <col min="4101" max="4101" width="12.7109375" customWidth="1"/>
    <col min="4102" max="4102" width="3.7109375" customWidth="1"/>
    <col min="4103" max="4103" width="12.7109375" customWidth="1"/>
    <col min="4104" max="4104" width="3.7109375" customWidth="1"/>
    <col min="4105" max="4105" width="12.7109375" customWidth="1"/>
    <col min="4106" max="4106" width="3.7109375" customWidth="1"/>
    <col min="4107" max="4107" width="16.140625" bestFit="1" customWidth="1"/>
    <col min="4108" max="4108" width="8.42578125" customWidth="1"/>
    <col min="4110" max="4110" width="10" bestFit="1" customWidth="1"/>
    <col min="4111" max="4112" width="11" bestFit="1" customWidth="1"/>
    <col min="4353" max="4353" width="3.7109375" customWidth="1"/>
    <col min="4354" max="4354" width="29.42578125" bestFit="1" customWidth="1"/>
    <col min="4355" max="4355" width="14" bestFit="1" customWidth="1"/>
    <col min="4356" max="4356" width="3.7109375" customWidth="1"/>
    <col min="4357" max="4357" width="12.7109375" customWidth="1"/>
    <col min="4358" max="4358" width="3.7109375" customWidth="1"/>
    <col min="4359" max="4359" width="12.7109375" customWidth="1"/>
    <col min="4360" max="4360" width="3.7109375" customWidth="1"/>
    <col min="4361" max="4361" width="12.7109375" customWidth="1"/>
    <col min="4362" max="4362" width="3.7109375" customWidth="1"/>
    <col min="4363" max="4363" width="16.140625" bestFit="1" customWidth="1"/>
    <col min="4364" max="4364" width="8.42578125" customWidth="1"/>
    <col min="4366" max="4366" width="10" bestFit="1" customWidth="1"/>
    <col min="4367" max="4368" width="11" bestFit="1" customWidth="1"/>
    <col min="4609" max="4609" width="3.7109375" customWidth="1"/>
    <col min="4610" max="4610" width="29.42578125" bestFit="1" customWidth="1"/>
    <col min="4611" max="4611" width="14" bestFit="1" customWidth="1"/>
    <col min="4612" max="4612" width="3.7109375" customWidth="1"/>
    <col min="4613" max="4613" width="12.7109375" customWidth="1"/>
    <col min="4614" max="4614" width="3.7109375" customWidth="1"/>
    <col min="4615" max="4615" width="12.7109375" customWidth="1"/>
    <col min="4616" max="4616" width="3.7109375" customWidth="1"/>
    <col min="4617" max="4617" width="12.7109375" customWidth="1"/>
    <col min="4618" max="4618" width="3.7109375" customWidth="1"/>
    <col min="4619" max="4619" width="16.140625" bestFit="1" customWidth="1"/>
    <col min="4620" max="4620" width="8.42578125" customWidth="1"/>
    <col min="4622" max="4622" width="10" bestFit="1" customWidth="1"/>
    <col min="4623" max="4624" width="11" bestFit="1" customWidth="1"/>
    <col min="4865" max="4865" width="3.7109375" customWidth="1"/>
    <col min="4866" max="4866" width="29.42578125" bestFit="1" customWidth="1"/>
    <col min="4867" max="4867" width="14" bestFit="1" customWidth="1"/>
    <col min="4868" max="4868" width="3.7109375" customWidth="1"/>
    <col min="4869" max="4869" width="12.7109375" customWidth="1"/>
    <col min="4870" max="4870" width="3.7109375" customWidth="1"/>
    <col min="4871" max="4871" width="12.7109375" customWidth="1"/>
    <col min="4872" max="4872" width="3.7109375" customWidth="1"/>
    <col min="4873" max="4873" width="12.7109375" customWidth="1"/>
    <col min="4874" max="4874" width="3.7109375" customWidth="1"/>
    <col min="4875" max="4875" width="16.140625" bestFit="1" customWidth="1"/>
    <col min="4876" max="4876" width="8.42578125" customWidth="1"/>
    <col min="4878" max="4878" width="10" bestFit="1" customWidth="1"/>
    <col min="4879" max="4880" width="11" bestFit="1" customWidth="1"/>
    <col min="5121" max="5121" width="3.7109375" customWidth="1"/>
    <col min="5122" max="5122" width="29.42578125" bestFit="1" customWidth="1"/>
    <col min="5123" max="5123" width="14" bestFit="1" customWidth="1"/>
    <col min="5124" max="5124" width="3.7109375" customWidth="1"/>
    <col min="5125" max="5125" width="12.7109375" customWidth="1"/>
    <col min="5126" max="5126" width="3.7109375" customWidth="1"/>
    <col min="5127" max="5127" width="12.7109375" customWidth="1"/>
    <col min="5128" max="5128" width="3.7109375" customWidth="1"/>
    <col min="5129" max="5129" width="12.7109375" customWidth="1"/>
    <col min="5130" max="5130" width="3.7109375" customWidth="1"/>
    <col min="5131" max="5131" width="16.140625" bestFit="1" customWidth="1"/>
    <col min="5132" max="5132" width="8.42578125" customWidth="1"/>
    <col min="5134" max="5134" width="10" bestFit="1" customWidth="1"/>
    <col min="5135" max="5136" width="11" bestFit="1" customWidth="1"/>
    <col min="5377" max="5377" width="3.7109375" customWidth="1"/>
    <col min="5378" max="5378" width="29.42578125" bestFit="1" customWidth="1"/>
    <col min="5379" max="5379" width="14" bestFit="1" customWidth="1"/>
    <col min="5380" max="5380" width="3.7109375" customWidth="1"/>
    <col min="5381" max="5381" width="12.7109375" customWidth="1"/>
    <col min="5382" max="5382" width="3.7109375" customWidth="1"/>
    <col min="5383" max="5383" width="12.7109375" customWidth="1"/>
    <col min="5384" max="5384" width="3.7109375" customWidth="1"/>
    <col min="5385" max="5385" width="12.7109375" customWidth="1"/>
    <col min="5386" max="5386" width="3.7109375" customWidth="1"/>
    <col min="5387" max="5387" width="16.140625" bestFit="1" customWidth="1"/>
    <col min="5388" max="5388" width="8.42578125" customWidth="1"/>
    <col min="5390" max="5390" width="10" bestFit="1" customWidth="1"/>
    <col min="5391" max="5392" width="11" bestFit="1" customWidth="1"/>
    <col min="5633" max="5633" width="3.7109375" customWidth="1"/>
    <col min="5634" max="5634" width="29.42578125" bestFit="1" customWidth="1"/>
    <col min="5635" max="5635" width="14" bestFit="1" customWidth="1"/>
    <col min="5636" max="5636" width="3.7109375" customWidth="1"/>
    <col min="5637" max="5637" width="12.7109375" customWidth="1"/>
    <col min="5638" max="5638" width="3.7109375" customWidth="1"/>
    <col min="5639" max="5639" width="12.7109375" customWidth="1"/>
    <col min="5640" max="5640" width="3.7109375" customWidth="1"/>
    <col min="5641" max="5641" width="12.7109375" customWidth="1"/>
    <col min="5642" max="5642" width="3.7109375" customWidth="1"/>
    <col min="5643" max="5643" width="16.140625" bestFit="1" customWidth="1"/>
    <col min="5644" max="5644" width="8.42578125" customWidth="1"/>
    <col min="5646" max="5646" width="10" bestFit="1" customWidth="1"/>
    <col min="5647" max="5648" width="11" bestFit="1" customWidth="1"/>
    <col min="5889" max="5889" width="3.7109375" customWidth="1"/>
    <col min="5890" max="5890" width="29.42578125" bestFit="1" customWidth="1"/>
    <col min="5891" max="5891" width="14" bestFit="1" customWidth="1"/>
    <col min="5892" max="5892" width="3.7109375" customWidth="1"/>
    <col min="5893" max="5893" width="12.7109375" customWidth="1"/>
    <col min="5894" max="5894" width="3.7109375" customWidth="1"/>
    <col min="5895" max="5895" width="12.7109375" customWidth="1"/>
    <col min="5896" max="5896" width="3.7109375" customWidth="1"/>
    <col min="5897" max="5897" width="12.7109375" customWidth="1"/>
    <col min="5898" max="5898" width="3.7109375" customWidth="1"/>
    <col min="5899" max="5899" width="16.140625" bestFit="1" customWidth="1"/>
    <col min="5900" max="5900" width="8.42578125" customWidth="1"/>
    <col min="5902" max="5902" width="10" bestFit="1" customWidth="1"/>
    <col min="5903" max="5904" width="11" bestFit="1" customWidth="1"/>
    <col min="6145" max="6145" width="3.7109375" customWidth="1"/>
    <col min="6146" max="6146" width="29.42578125" bestFit="1" customWidth="1"/>
    <col min="6147" max="6147" width="14" bestFit="1" customWidth="1"/>
    <col min="6148" max="6148" width="3.7109375" customWidth="1"/>
    <col min="6149" max="6149" width="12.7109375" customWidth="1"/>
    <col min="6150" max="6150" width="3.7109375" customWidth="1"/>
    <col min="6151" max="6151" width="12.7109375" customWidth="1"/>
    <col min="6152" max="6152" width="3.7109375" customWidth="1"/>
    <col min="6153" max="6153" width="12.7109375" customWidth="1"/>
    <col min="6154" max="6154" width="3.7109375" customWidth="1"/>
    <col min="6155" max="6155" width="16.140625" bestFit="1" customWidth="1"/>
    <col min="6156" max="6156" width="8.42578125" customWidth="1"/>
    <col min="6158" max="6158" width="10" bestFit="1" customWidth="1"/>
    <col min="6159" max="6160" width="11" bestFit="1" customWidth="1"/>
    <col min="6401" max="6401" width="3.7109375" customWidth="1"/>
    <col min="6402" max="6402" width="29.42578125" bestFit="1" customWidth="1"/>
    <col min="6403" max="6403" width="14" bestFit="1" customWidth="1"/>
    <col min="6404" max="6404" width="3.7109375" customWidth="1"/>
    <col min="6405" max="6405" width="12.7109375" customWidth="1"/>
    <col min="6406" max="6406" width="3.7109375" customWidth="1"/>
    <col min="6407" max="6407" width="12.7109375" customWidth="1"/>
    <col min="6408" max="6408" width="3.7109375" customWidth="1"/>
    <col min="6409" max="6409" width="12.7109375" customWidth="1"/>
    <col min="6410" max="6410" width="3.7109375" customWidth="1"/>
    <col min="6411" max="6411" width="16.140625" bestFit="1" customWidth="1"/>
    <col min="6412" max="6412" width="8.42578125" customWidth="1"/>
    <col min="6414" max="6414" width="10" bestFit="1" customWidth="1"/>
    <col min="6415" max="6416" width="11" bestFit="1" customWidth="1"/>
    <col min="6657" max="6657" width="3.7109375" customWidth="1"/>
    <col min="6658" max="6658" width="29.42578125" bestFit="1" customWidth="1"/>
    <col min="6659" max="6659" width="14" bestFit="1" customWidth="1"/>
    <col min="6660" max="6660" width="3.7109375" customWidth="1"/>
    <col min="6661" max="6661" width="12.7109375" customWidth="1"/>
    <col min="6662" max="6662" width="3.7109375" customWidth="1"/>
    <col min="6663" max="6663" width="12.7109375" customWidth="1"/>
    <col min="6664" max="6664" width="3.7109375" customWidth="1"/>
    <col min="6665" max="6665" width="12.7109375" customWidth="1"/>
    <col min="6666" max="6666" width="3.7109375" customWidth="1"/>
    <col min="6667" max="6667" width="16.140625" bestFit="1" customWidth="1"/>
    <col min="6668" max="6668" width="8.42578125" customWidth="1"/>
    <col min="6670" max="6670" width="10" bestFit="1" customWidth="1"/>
    <col min="6671" max="6672" width="11" bestFit="1" customWidth="1"/>
    <col min="6913" max="6913" width="3.7109375" customWidth="1"/>
    <col min="6914" max="6914" width="29.42578125" bestFit="1" customWidth="1"/>
    <col min="6915" max="6915" width="14" bestFit="1" customWidth="1"/>
    <col min="6916" max="6916" width="3.7109375" customWidth="1"/>
    <col min="6917" max="6917" width="12.7109375" customWidth="1"/>
    <col min="6918" max="6918" width="3.7109375" customWidth="1"/>
    <col min="6919" max="6919" width="12.7109375" customWidth="1"/>
    <col min="6920" max="6920" width="3.7109375" customWidth="1"/>
    <col min="6921" max="6921" width="12.7109375" customWidth="1"/>
    <col min="6922" max="6922" width="3.7109375" customWidth="1"/>
    <col min="6923" max="6923" width="16.140625" bestFit="1" customWidth="1"/>
    <col min="6924" max="6924" width="8.42578125" customWidth="1"/>
    <col min="6926" max="6926" width="10" bestFit="1" customWidth="1"/>
    <col min="6927" max="6928" width="11" bestFit="1" customWidth="1"/>
    <col min="7169" max="7169" width="3.7109375" customWidth="1"/>
    <col min="7170" max="7170" width="29.42578125" bestFit="1" customWidth="1"/>
    <col min="7171" max="7171" width="14" bestFit="1" customWidth="1"/>
    <col min="7172" max="7172" width="3.7109375" customWidth="1"/>
    <col min="7173" max="7173" width="12.7109375" customWidth="1"/>
    <col min="7174" max="7174" width="3.7109375" customWidth="1"/>
    <col min="7175" max="7175" width="12.7109375" customWidth="1"/>
    <col min="7176" max="7176" width="3.7109375" customWidth="1"/>
    <col min="7177" max="7177" width="12.7109375" customWidth="1"/>
    <col min="7178" max="7178" width="3.7109375" customWidth="1"/>
    <col min="7179" max="7179" width="16.140625" bestFit="1" customWidth="1"/>
    <col min="7180" max="7180" width="8.42578125" customWidth="1"/>
    <col min="7182" max="7182" width="10" bestFit="1" customWidth="1"/>
    <col min="7183" max="7184" width="11" bestFit="1" customWidth="1"/>
    <col min="7425" max="7425" width="3.7109375" customWidth="1"/>
    <col min="7426" max="7426" width="29.42578125" bestFit="1" customWidth="1"/>
    <col min="7427" max="7427" width="14" bestFit="1" customWidth="1"/>
    <col min="7428" max="7428" width="3.7109375" customWidth="1"/>
    <col min="7429" max="7429" width="12.7109375" customWidth="1"/>
    <col min="7430" max="7430" width="3.7109375" customWidth="1"/>
    <col min="7431" max="7431" width="12.7109375" customWidth="1"/>
    <col min="7432" max="7432" width="3.7109375" customWidth="1"/>
    <col min="7433" max="7433" width="12.7109375" customWidth="1"/>
    <col min="7434" max="7434" width="3.7109375" customWidth="1"/>
    <col min="7435" max="7435" width="16.140625" bestFit="1" customWidth="1"/>
    <col min="7436" max="7436" width="8.42578125" customWidth="1"/>
    <col min="7438" max="7438" width="10" bestFit="1" customWidth="1"/>
    <col min="7439" max="7440" width="11" bestFit="1" customWidth="1"/>
    <col min="7681" max="7681" width="3.7109375" customWidth="1"/>
    <col min="7682" max="7682" width="29.42578125" bestFit="1" customWidth="1"/>
    <col min="7683" max="7683" width="14" bestFit="1" customWidth="1"/>
    <col min="7684" max="7684" width="3.7109375" customWidth="1"/>
    <col min="7685" max="7685" width="12.7109375" customWidth="1"/>
    <col min="7686" max="7686" width="3.7109375" customWidth="1"/>
    <col min="7687" max="7687" width="12.7109375" customWidth="1"/>
    <col min="7688" max="7688" width="3.7109375" customWidth="1"/>
    <col min="7689" max="7689" width="12.7109375" customWidth="1"/>
    <col min="7690" max="7690" width="3.7109375" customWidth="1"/>
    <col min="7691" max="7691" width="16.140625" bestFit="1" customWidth="1"/>
    <col min="7692" max="7692" width="8.42578125" customWidth="1"/>
    <col min="7694" max="7694" width="10" bestFit="1" customWidth="1"/>
    <col min="7695" max="7696" width="11" bestFit="1" customWidth="1"/>
    <col min="7937" max="7937" width="3.7109375" customWidth="1"/>
    <col min="7938" max="7938" width="29.42578125" bestFit="1" customWidth="1"/>
    <col min="7939" max="7939" width="14" bestFit="1" customWidth="1"/>
    <col min="7940" max="7940" width="3.7109375" customWidth="1"/>
    <col min="7941" max="7941" width="12.7109375" customWidth="1"/>
    <col min="7942" max="7942" width="3.7109375" customWidth="1"/>
    <col min="7943" max="7943" width="12.7109375" customWidth="1"/>
    <col min="7944" max="7944" width="3.7109375" customWidth="1"/>
    <col min="7945" max="7945" width="12.7109375" customWidth="1"/>
    <col min="7946" max="7946" width="3.7109375" customWidth="1"/>
    <col min="7947" max="7947" width="16.140625" bestFit="1" customWidth="1"/>
    <col min="7948" max="7948" width="8.42578125" customWidth="1"/>
    <col min="7950" max="7950" width="10" bestFit="1" customWidth="1"/>
    <col min="7951" max="7952" width="11" bestFit="1" customWidth="1"/>
    <col min="8193" max="8193" width="3.7109375" customWidth="1"/>
    <col min="8194" max="8194" width="29.42578125" bestFit="1" customWidth="1"/>
    <col min="8195" max="8195" width="14" bestFit="1" customWidth="1"/>
    <col min="8196" max="8196" width="3.7109375" customWidth="1"/>
    <col min="8197" max="8197" width="12.7109375" customWidth="1"/>
    <col min="8198" max="8198" width="3.7109375" customWidth="1"/>
    <col min="8199" max="8199" width="12.7109375" customWidth="1"/>
    <col min="8200" max="8200" width="3.7109375" customWidth="1"/>
    <col min="8201" max="8201" width="12.7109375" customWidth="1"/>
    <col min="8202" max="8202" width="3.7109375" customWidth="1"/>
    <col min="8203" max="8203" width="16.140625" bestFit="1" customWidth="1"/>
    <col min="8204" max="8204" width="8.42578125" customWidth="1"/>
    <col min="8206" max="8206" width="10" bestFit="1" customWidth="1"/>
    <col min="8207" max="8208" width="11" bestFit="1" customWidth="1"/>
    <col min="8449" max="8449" width="3.7109375" customWidth="1"/>
    <col min="8450" max="8450" width="29.42578125" bestFit="1" customWidth="1"/>
    <col min="8451" max="8451" width="14" bestFit="1" customWidth="1"/>
    <col min="8452" max="8452" width="3.7109375" customWidth="1"/>
    <col min="8453" max="8453" width="12.7109375" customWidth="1"/>
    <col min="8454" max="8454" width="3.7109375" customWidth="1"/>
    <col min="8455" max="8455" width="12.7109375" customWidth="1"/>
    <col min="8456" max="8456" width="3.7109375" customWidth="1"/>
    <col min="8457" max="8457" width="12.7109375" customWidth="1"/>
    <col min="8458" max="8458" width="3.7109375" customWidth="1"/>
    <col min="8459" max="8459" width="16.140625" bestFit="1" customWidth="1"/>
    <col min="8460" max="8460" width="8.42578125" customWidth="1"/>
    <col min="8462" max="8462" width="10" bestFit="1" customWidth="1"/>
    <col min="8463" max="8464" width="11" bestFit="1" customWidth="1"/>
    <col min="8705" max="8705" width="3.7109375" customWidth="1"/>
    <col min="8706" max="8706" width="29.42578125" bestFit="1" customWidth="1"/>
    <col min="8707" max="8707" width="14" bestFit="1" customWidth="1"/>
    <col min="8708" max="8708" width="3.7109375" customWidth="1"/>
    <col min="8709" max="8709" width="12.7109375" customWidth="1"/>
    <col min="8710" max="8710" width="3.7109375" customWidth="1"/>
    <col min="8711" max="8711" width="12.7109375" customWidth="1"/>
    <col min="8712" max="8712" width="3.7109375" customWidth="1"/>
    <col min="8713" max="8713" width="12.7109375" customWidth="1"/>
    <col min="8714" max="8714" width="3.7109375" customWidth="1"/>
    <col min="8715" max="8715" width="16.140625" bestFit="1" customWidth="1"/>
    <col min="8716" max="8716" width="8.42578125" customWidth="1"/>
    <col min="8718" max="8718" width="10" bestFit="1" customWidth="1"/>
    <col min="8719" max="8720" width="11" bestFit="1" customWidth="1"/>
    <col min="8961" max="8961" width="3.7109375" customWidth="1"/>
    <col min="8962" max="8962" width="29.42578125" bestFit="1" customWidth="1"/>
    <col min="8963" max="8963" width="14" bestFit="1" customWidth="1"/>
    <col min="8964" max="8964" width="3.7109375" customWidth="1"/>
    <col min="8965" max="8965" width="12.7109375" customWidth="1"/>
    <col min="8966" max="8966" width="3.7109375" customWidth="1"/>
    <col min="8967" max="8967" width="12.7109375" customWidth="1"/>
    <col min="8968" max="8968" width="3.7109375" customWidth="1"/>
    <col min="8969" max="8969" width="12.7109375" customWidth="1"/>
    <col min="8970" max="8970" width="3.7109375" customWidth="1"/>
    <col min="8971" max="8971" width="16.140625" bestFit="1" customWidth="1"/>
    <col min="8972" max="8972" width="8.42578125" customWidth="1"/>
    <col min="8974" max="8974" width="10" bestFit="1" customWidth="1"/>
    <col min="8975" max="8976" width="11" bestFit="1" customWidth="1"/>
    <col min="9217" max="9217" width="3.7109375" customWidth="1"/>
    <col min="9218" max="9218" width="29.42578125" bestFit="1" customWidth="1"/>
    <col min="9219" max="9219" width="14" bestFit="1" customWidth="1"/>
    <col min="9220" max="9220" width="3.7109375" customWidth="1"/>
    <col min="9221" max="9221" width="12.7109375" customWidth="1"/>
    <col min="9222" max="9222" width="3.7109375" customWidth="1"/>
    <col min="9223" max="9223" width="12.7109375" customWidth="1"/>
    <col min="9224" max="9224" width="3.7109375" customWidth="1"/>
    <col min="9225" max="9225" width="12.7109375" customWidth="1"/>
    <col min="9226" max="9226" width="3.7109375" customWidth="1"/>
    <col min="9227" max="9227" width="16.140625" bestFit="1" customWidth="1"/>
    <col min="9228" max="9228" width="8.42578125" customWidth="1"/>
    <col min="9230" max="9230" width="10" bestFit="1" customWidth="1"/>
    <col min="9231" max="9232" width="11" bestFit="1" customWidth="1"/>
    <col min="9473" max="9473" width="3.7109375" customWidth="1"/>
    <col min="9474" max="9474" width="29.42578125" bestFit="1" customWidth="1"/>
    <col min="9475" max="9475" width="14" bestFit="1" customWidth="1"/>
    <col min="9476" max="9476" width="3.7109375" customWidth="1"/>
    <col min="9477" max="9477" width="12.7109375" customWidth="1"/>
    <col min="9478" max="9478" width="3.7109375" customWidth="1"/>
    <col min="9479" max="9479" width="12.7109375" customWidth="1"/>
    <col min="9480" max="9480" width="3.7109375" customWidth="1"/>
    <col min="9481" max="9481" width="12.7109375" customWidth="1"/>
    <col min="9482" max="9482" width="3.7109375" customWidth="1"/>
    <col min="9483" max="9483" width="16.140625" bestFit="1" customWidth="1"/>
    <col min="9484" max="9484" width="8.42578125" customWidth="1"/>
    <col min="9486" max="9486" width="10" bestFit="1" customWidth="1"/>
    <col min="9487" max="9488" width="11" bestFit="1" customWidth="1"/>
    <col min="9729" max="9729" width="3.7109375" customWidth="1"/>
    <col min="9730" max="9730" width="29.42578125" bestFit="1" customWidth="1"/>
    <col min="9731" max="9731" width="14" bestFit="1" customWidth="1"/>
    <col min="9732" max="9732" width="3.7109375" customWidth="1"/>
    <col min="9733" max="9733" width="12.7109375" customWidth="1"/>
    <col min="9734" max="9734" width="3.7109375" customWidth="1"/>
    <col min="9735" max="9735" width="12.7109375" customWidth="1"/>
    <col min="9736" max="9736" width="3.7109375" customWidth="1"/>
    <col min="9737" max="9737" width="12.7109375" customWidth="1"/>
    <col min="9738" max="9738" width="3.7109375" customWidth="1"/>
    <col min="9739" max="9739" width="16.140625" bestFit="1" customWidth="1"/>
    <col min="9740" max="9740" width="8.42578125" customWidth="1"/>
    <col min="9742" max="9742" width="10" bestFit="1" customWidth="1"/>
    <col min="9743" max="9744" width="11" bestFit="1" customWidth="1"/>
    <col min="9985" max="9985" width="3.7109375" customWidth="1"/>
    <col min="9986" max="9986" width="29.42578125" bestFit="1" customWidth="1"/>
    <col min="9987" max="9987" width="14" bestFit="1" customWidth="1"/>
    <col min="9988" max="9988" width="3.7109375" customWidth="1"/>
    <col min="9989" max="9989" width="12.7109375" customWidth="1"/>
    <col min="9990" max="9990" width="3.7109375" customWidth="1"/>
    <col min="9991" max="9991" width="12.7109375" customWidth="1"/>
    <col min="9992" max="9992" width="3.7109375" customWidth="1"/>
    <col min="9993" max="9993" width="12.7109375" customWidth="1"/>
    <col min="9994" max="9994" width="3.7109375" customWidth="1"/>
    <col min="9995" max="9995" width="16.140625" bestFit="1" customWidth="1"/>
    <col min="9996" max="9996" width="8.42578125" customWidth="1"/>
    <col min="9998" max="9998" width="10" bestFit="1" customWidth="1"/>
    <col min="9999" max="10000" width="11" bestFit="1" customWidth="1"/>
    <col min="10241" max="10241" width="3.7109375" customWidth="1"/>
    <col min="10242" max="10242" width="29.42578125" bestFit="1" customWidth="1"/>
    <col min="10243" max="10243" width="14" bestFit="1" customWidth="1"/>
    <col min="10244" max="10244" width="3.7109375" customWidth="1"/>
    <col min="10245" max="10245" width="12.7109375" customWidth="1"/>
    <col min="10246" max="10246" width="3.7109375" customWidth="1"/>
    <col min="10247" max="10247" width="12.7109375" customWidth="1"/>
    <col min="10248" max="10248" width="3.7109375" customWidth="1"/>
    <col min="10249" max="10249" width="12.7109375" customWidth="1"/>
    <col min="10250" max="10250" width="3.7109375" customWidth="1"/>
    <col min="10251" max="10251" width="16.140625" bestFit="1" customWidth="1"/>
    <col min="10252" max="10252" width="8.42578125" customWidth="1"/>
    <col min="10254" max="10254" width="10" bestFit="1" customWidth="1"/>
    <col min="10255" max="10256" width="11" bestFit="1" customWidth="1"/>
    <col min="10497" max="10497" width="3.7109375" customWidth="1"/>
    <col min="10498" max="10498" width="29.42578125" bestFit="1" customWidth="1"/>
    <col min="10499" max="10499" width="14" bestFit="1" customWidth="1"/>
    <col min="10500" max="10500" width="3.7109375" customWidth="1"/>
    <col min="10501" max="10501" width="12.7109375" customWidth="1"/>
    <col min="10502" max="10502" width="3.7109375" customWidth="1"/>
    <col min="10503" max="10503" width="12.7109375" customWidth="1"/>
    <col min="10504" max="10504" width="3.7109375" customWidth="1"/>
    <col min="10505" max="10505" width="12.7109375" customWidth="1"/>
    <col min="10506" max="10506" width="3.7109375" customWidth="1"/>
    <col min="10507" max="10507" width="16.140625" bestFit="1" customWidth="1"/>
    <col min="10508" max="10508" width="8.42578125" customWidth="1"/>
    <col min="10510" max="10510" width="10" bestFit="1" customWidth="1"/>
    <col min="10511" max="10512" width="11" bestFit="1" customWidth="1"/>
    <col min="10753" max="10753" width="3.7109375" customWidth="1"/>
    <col min="10754" max="10754" width="29.42578125" bestFit="1" customWidth="1"/>
    <col min="10755" max="10755" width="14" bestFit="1" customWidth="1"/>
    <col min="10756" max="10756" width="3.7109375" customWidth="1"/>
    <col min="10757" max="10757" width="12.7109375" customWidth="1"/>
    <col min="10758" max="10758" width="3.7109375" customWidth="1"/>
    <col min="10759" max="10759" width="12.7109375" customWidth="1"/>
    <col min="10760" max="10760" width="3.7109375" customWidth="1"/>
    <col min="10761" max="10761" width="12.7109375" customWidth="1"/>
    <col min="10762" max="10762" width="3.7109375" customWidth="1"/>
    <col min="10763" max="10763" width="16.140625" bestFit="1" customWidth="1"/>
    <col min="10764" max="10764" width="8.42578125" customWidth="1"/>
    <col min="10766" max="10766" width="10" bestFit="1" customWidth="1"/>
    <col min="10767" max="10768" width="11" bestFit="1" customWidth="1"/>
    <col min="11009" max="11009" width="3.7109375" customWidth="1"/>
    <col min="11010" max="11010" width="29.42578125" bestFit="1" customWidth="1"/>
    <col min="11011" max="11011" width="14" bestFit="1" customWidth="1"/>
    <col min="11012" max="11012" width="3.7109375" customWidth="1"/>
    <col min="11013" max="11013" width="12.7109375" customWidth="1"/>
    <col min="11014" max="11014" width="3.7109375" customWidth="1"/>
    <col min="11015" max="11015" width="12.7109375" customWidth="1"/>
    <col min="11016" max="11016" width="3.7109375" customWidth="1"/>
    <col min="11017" max="11017" width="12.7109375" customWidth="1"/>
    <col min="11018" max="11018" width="3.7109375" customWidth="1"/>
    <col min="11019" max="11019" width="16.140625" bestFit="1" customWidth="1"/>
    <col min="11020" max="11020" width="8.42578125" customWidth="1"/>
    <col min="11022" max="11022" width="10" bestFit="1" customWidth="1"/>
    <col min="11023" max="11024" width="11" bestFit="1" customWidth="1"/>
    <col min="11265" max="11265" width="3.7109375" customWidth="1"/>
    <col min="11266" max="11266" width="29.42578125" bestFit="1" customWidth="1"/>
    <col min="11267" max="11267" width="14" bestFit="1" customWidth="1"/>
    <col min="11268" max="11268" width="3.7109375" customWidth="1"/>
    <col min="11269" max="11269" width="12.7109375" customWidth="1"/>
    <col min="11270" max="11270" width="3.7109375" customWidth="1"/>
    <col min="11271" max="11271" width="12.7109375" customWidth="1"/>
    <col min="11272" max="11272" width="3.7109375" customWidth="1"/>
    <col min="11273" max="11273" width="12.7109375" customWidth="1"/>
    <col min="11274" max="11274" width="3.7109375" customWidth="1"/>
    <col min="11275" max="11275" width="16.140625" bestFit="1" customWidth="1"/>
    <col min="11276" max="11276" width="8.42578125" customWidth="1"/>
    <col min="11278" max="11278" width="10" bestFit="1" customWidth="1"/>
    <col min="11279" max="11280" width="11" bestFit="1" customWidth="1"/>
    <col min="11521" max="11521" width="3.7109375" customWidth="1"/>
    <col min="11522" max="11522" width="29.42578125" bestFit="1" customWidth="1"/>
    <col min="11523" max="11523" width="14" bestFit="1" customWidth="1"/>
    <col min="11524" max="11524" width="3.7109375" customWidth="1"/>
    <col min="11525" max="11525" width="12.7109375" customWidth="1"/>
    <col min="11526" max="11526" width="3.7109375" customWidth="1"/>
    <col min="11527" max="11527" width="12.7109375" customWidth="1"/>
    <col min="11528" max="11528" width="3.7109375" customWidth="1"/>
    <col min="11529" max="11529" width="12.7109375" customWidth="1"/>
    <col min="11530" max="11530" width="3.7109375" customWidth="1"/>
    <col min="11531" max="11531" width="16.140625" bestFit="1" customWidth="1"/>
    <col min="11532" max="11532" width="8.42578125" customWidth="1"/>
    <col min="11534" max="11534" width="10" bestFit="1" customWidth="1"/>
    <col min="11535" max="11536" width="11" bestFit="1" customWidth="1"/>
    <col min="11777" max="11777" width="3.7109375" customWidth="1"/>
    <col min="11778" max="11778" width="29.42578125" bestFit="1" customWidth="1"/>
    <col min="11779" max="11779" width="14" bestFit="1" customWidth="1"/>
    <col min="11780" max="11780" width="3.7109375" customWidth="1"/>
    <col min="11781" max="11781" width="12.7109375" customWidth="1"/>
    <col min="11782" max="11782" width="3.7109375" customWidth="1"/>
    <col min="11783" max="11783" width="12.7109375" customWidth="1"/>
    <col min="11784" max="11784" width="3.7109375" customWidth="1"/>
    <col min="11785" max="11785" width="12.7109375" customWidth="1"/>
    <col min="11786" max="11786" width="3.7109375" customWidth="1"/>
    <col min="11787" max="11787" width="16.140625" bestFit="1" customWidth="1"/>
    <col min="11788" max="11788" width="8.42578125" customWidth="1"/>
    <col min="11790" max="11790" width="10" bestFit="1" customWidth="1"/>
    <col min="11791" max="11792" width="11" bestFit="1" customWidth="1"/>
    <col min="12033" max="12033" width="3.7109375" customWidth="1"/>
    <col min="12034" max="12034" width="29.42578125" bestFit="1" customWidth="1"/>
    <col min="12035" max="12035" width="14" bestFit="1" customWidth="1"/>
    <col min="12036" max="12036" width="3.7109375" customWidth="1"/>
    <col min="12037" max="12037" width="12.7109375" customWidth="1"/>
    <col min="12038" max="12038" width="3.7109375" customWidth="1"/>
    <col min="12039" max="12039" width="12.7109375" customWidth="1"/>
    <col min="12040" max="12040" width="3.7109375" customWidth="1"/>
    <col min="12041" max="12041" width="12.7109375" customWidth="1"/>
    <col min="12042" max="12042" width="3.7109375" customWidth="1"/>
    <col min="12043" max="12043" width="16.140625" bestFit="1" customWidth="1"/>
    <col min="12044" max="12044" width="8.42578125" customWidth="1"/>
    <col min="12046" max="12046" width="10" bestFit="1" customWidth="1"/>
    <col min="12047" max="12048" width="11" bestFit="1" customWidth="1"/>
    <col min="12289" max="12289" width="3.7109375" customWidth="1"/>
    <col min="12290" max="12290" width="29.42578125" bestFit="1" customWidth="1"/>
    <col min="12291" max="12291" width="14" bestFit="1" customWidth="1"/>
    <col min="12292" max="12292" width="3.7109375" customWidth="1"/>
    <col min="12293" max="12293" width="12.7109375" customWidth="1"/>
    <col min="12294" max="12294" width="3.7109375" customWidth="1"/>
    <col min="12295" max="12295" width="12.7109375" customWidth="1"/>
    <col min="12296" max="12296" width="3.7109375" customWidth="1"/>
    <col min="12297" max="12297" width="12.7109375" customWidth="1"/>
    <col min="12298" max="12298" width="3.7109375" customWidth="1"/>
    <col min="12299" max="12299" width="16.140625" bestFit="1" customWidth="1"/>
    <col min="12300" max="12300" width="8.42578125" customWidth="1"/>
    <col min="12302" max="12302" width="10" bestFit="1" customWidth="1"/>
    <col min="12303" max="12304" width="11" bestFit="1" customWidth="1"/>
    <col min="12545" max="12545" width="3.7109375" customWidth="1"/>
    <col min="12546" max="12546" width="29.42578125" bestFit="1" customWidth="1"/>
    <col min="12547" max="12547" width="14" bestFit="1" customWidth="1"/>
    <col min="12548" max="12548" width="3.7109375" customWidth="1"/>
    <col min="12549" max="12549" width="12.7109375" customWidth="1"/>
    <col min="12550" max="12550" width="3.7109375" customWidth="1"/>
    <col min="12551" max="12551" width="12.7109375" customWidth="1"/>
    <col min="12552" max="12552" width="3.7109375" customWidth="1"/>
    <col min="12553" max="12553" width="12.7109375" customWidth="1"/>
    <col min="12554" max="12554" width="3.7109375" customWidth="1"/>
    <col min="12555" max="12555" width="16.140625" bestFit="1" customWidth="1"/>
    <col min="12556" max="12556" width="8.42578125" customWidth="1"/>
    <col min="12558" max="12558" width="10" bestFit="1" customWidth="1"/>
    <col min="12559" max="12560" width="11" bestFit="1" customWidth="1"/>
    <col min="12801" max="12801" width="3.7109375" customWidth="1"/>
    <col min="12802" max="12802" width="29.42578125" bestFit="1" customWidth="1"/>
    <col min="12803" max="12803" width="14" bestFit="1" customWidth="1"/>
    <col min="12804" max="12804" width="3.7109375" customWidth="1"/>
    <col min="12805" max="12805" width="12.7109375" customWidth="1"/>
    <col min="12806" max="12806" width="3.7109375" customWidth="1"/>
    <col min="12807" max="12807" width="12.7109375" customWidth="1"/>
    <col min="12808" max="12808" width="3.7109375" customWidth="1"/>
    <col min="12809" max="12809" width="12.7109375" customWidth="1"/>
    <col min="12810" max="12810" width="3.7109375" customWidth="1"/>
    <col min="12811" max="12811" width="16.140625" bestFit="1" customWidth="1"/>
    <col min="12812" max="12812" width="8.42578125" customWidth="1"/>
    <col min="12814" max="12814" width="10" bestFit="1" customWidth="1"/>
    <col min="12815" max="12816" width="11" bestFit="1" customWidth="1"/>
    <col min="13057" max="13057" width="3.7109375" customWidth="1"/>
    <col min="13058" max="13058" width="29.42578125" bestFit="1" customWidth="1"/>
    <col min="13059" max="13059" width="14" bestFit="1" customWidth="1"/>
    <col min="13060" max="13060" width="3.7109375" customWidth="1"/>
    <col min="13061" max="13061" width="12.7109375" customWidth="1"/>
    <col min="13062" max="13062" width="3.7109375" customWidth="1"/>
    <col min="13063" max="13063" width="12.7109375" customWidth="1"/>
    <col min="13064" max="13064" width="3.7109375" customWidth="1"/>
    <col min="13065" max="13065" width="12.7109375" customWidth="1"/>
    <col min="13066" max="13066" width="3.7109375" customWidth="1"/>
    <col min="13067" max="13067" width="16.140625" bestFit="1" customWidth="1"/>
    <col min="13068" max="13068" width="8.42578125" customWidth="1"/>
    <col min="13070" max="13070" width="10" bestFit="1" customWidth="1"/>
    <col min="13071" max="13072" width="11" bestFit="1" customWidth="1"/>
    <col min="13313" max="13313" width="3.7109375" customWidth="1"/>
    <col min="13314" max="13314" width="29.42578125" bestFit="1" customWidth="1"/>
    <col min="13315" max="13315" width="14" bestFit="1" customWidth="1"/>
    <col min="13316" max="13316" width="3.7109375" customWidth="1"/>
    <col min="13317" max="13317" width="12.7109375" customWidth="1"/>
    <col min="13318" max="13318" width="3.7109375" customWidth="1"/>
    <col min="13319" max="13319" width="12.7109375" customWidth="1"/>
    <col min="13320" max="13320" width="3.7109375" customWidth="1"/>
    <col min="13321" max="13321" width="12.7109375" customWidth="1"/>
    <col min="13322" max="13322" width="3.7109375" customWidth="1"/>
    <col min="13323" max="13323" width="16.140625" bestFit="1" customWidth="1"/>
    <col min="13324" max="13324" width="8.42578125" customWidth="1"/>
    <col min="13326" max="13326" width="10" bestFit="1" customWidth="1"/>
    <col min="13327" max="13328" width="11" bestFit="1" customWidth="1"/>
    <col min="13569" max="13569" width="3.7109375" customWidth="1"/>
    <col min="13570" max="13570" width="29.42578125" bestFit="1" customWidth="1"/>
    <col min="13571" max="13571" width="14" bestFit="1" customWidth="1"/>
    <col min="13572" max="13572" width="3.7109375" customWidth="1"/>
    <col min="13573" max="13573" width="12.7109375" customWidth="1"/>
    <col min="13574" max="13574" width="3.7109375" customWidth="1"/>
    <col min="13575" max="13575" width="12.7109375" customWidth="1"/>
    <col min="13576" max="13576" width="3.7109375" customWidth="1"/>
    <col min="13577" max="13577" width="12.7109375" customWidth="1"/>
    <col min="13578" max="13578" width="3.7109375" customWidth="1"/>
    <col min="13579" max="13579" width="16.140625" bestFit="1" customWidth="1"/>
    <col min="13580" max="13580" width="8.42578125" customWidth="1"/>
    <col min="13582" max="13582" width="10" bestFit="1" customWidth="1"/>
    <col min="13583" max="13584" width="11" bestFit="1" customWidth="1"/>
    <col min="13825" max="13825" width="3.7109375" customWidth="1"/>
    <col min="13826" max="13826" width="29.42578125" bestFit="1" customWidth="1"/>
    <col min="13827" max="13827" width="14" bestFit="1" customWidth="1"/>
    <col min="13828" max="13828" width="3.7109375" customWidth="1"/>
    <col min="13829" max="13829" width="12.7109375" customWidth="1"/>
    <col min="13830" max="13830" width="3.7109375" customWidth="1"/>
    <col min="13831" max="13831" width="12.7109375" customWidth="1"/>
    <col min="13832" max="13832" width="3.7109375" customWidth="1"/>
    <col min="13833" max="13833" width="12.7109375" customWidth="1"/>
    <col min="13834" max="13834" width="3.7109375" customWidth="1"/>
    <col min="13835" max="13835" width="16.140625" bestFit="1" customWidth="1"/>
    <col min="13836" max="13836" width="8.42578125" customWidth="1"/>
    <col min="13838" max="13838" width="10" bestFit="1" customWidth="1"/>
    <col min="13839" max="13840" width="11" bestFit="1" customWidth="1"/>
    <col min="14081" max="14081" width="3.7109375" customWidth="1"/>
    <col min="14082" max="14082" width="29.42578125" bestFit="1" customWidth="1"/>
    <col min="14083" max="14083" width="14" bestFit="1" customWidth="1"/>
    <col min="14084" max="14084" width="3.7109375" customWidth="1"/>
    <col min="14085" max="14085" width="12.7109375" customWidth="1"/>
    <col min="14086" max="14086" width="3.7109375" customWidth="1"/>
    <col min="14087" max="14087" width="12.7109375" customWidth="1"/>
    <col min="14088" max="14088" width="3.7109375" customWidth="1"/>
    <col min="14089" max="14089" width="12.7109375" customWidth="1"/>
    <col min="14090" max="14090" width="3.7109375" customWidth="1"/>
    <col min="14091" max="14091" width="16.140625" bestFit="1" customWidth="1"/>
    <col min="14092" max="14092" width="8.42578125" customWidth="1"/>
    <col min="14094" max="14094" width="10" bestFit="1" customWidth="1"/>
    <col min="14095" max="14096" width="11" bestFit="1" customWidth="1"/>
    <col min="14337" max="14337" width="3.7109375" customWidth="1"/>
    <col min="14338" max="14338" width="29.42578125" bestFit="1" customWidth="1"/>
    <col min="14339" max="14339" width="14" bestFit="1" customWidth="1"/>
    <col min="14340" max="14340" width="3.7109375" customWidth="1"/>
    <col min="14341" max="14341" width="12.7109375" customWidth="1"/>
    <col min="14342" max="14342" width="3.7109375" customWidth="1"/>
    <col min="14343" max="14343" width="12.7109375" customWidth="1"/>
    <col min="14344" max="14344" width="3.7109375" customWidth="1"/>
    <col min="14345" max="14345" width="12.7109375" customWidth="1"/>
    <col min="14346" max="14346" width="3.7109375" customWidth="1"/>
    <col min="14347" max="14347" width="16.140625" bestFit="1" customWidth="1"/>
    <col min="14348" max="14348" width="8.42578125" customWidth="1"/>
    <col min="14350" max="14350" width="10" bestFit="1" customWidth="1"/>
    <col min="14351" max="14352" width="11" bestFit="1" customWidth="1"/>
    <col min="14593" max="14593" width="3.7109375" customWidth="1"/>
    <col min="14594" max="14594" width="29.42578125" bestFit="1" customWidth="1"/>
    <col min="14595" max="14595" width="14" bestFit="1" customWidth="1"/>
    <col min="14596" max="14596" width="3.7109375" customWidth="1"/>
    <col min="14597" max="14597" width="12.7109375" customWidth="1"/>
    <col min="14598" max="14598" width="3.7109375" customWidth="1"/>
    <col min="14599" max="14599" width="12.7109375" customWidth="1"/>
    <col min="14600" max="14600" width="3.7109375" customWidth="1"/>
    <col min="14601" max="14601" width="12.7109375" customWidth="1"/>
    <col min="14602" max="14602" width="3.7109375" customWidth="1"/>
    <col min="14603" max="14603" width="16.140625" bestFit="1" customWidth="1"/>
    <col min="14604" max="14604" width="8.42578125" customWidth="1"/>
    <col min="14606" max="14606" width="10" bestFit="1" customWidth="1"/>
    <col min="14607" max="14608" width="11" bestFit="1" customWidth="1"/>
    <col min="14849" max="14849" width="3.7109375" customWidth="1"/>
    <col min="14850" max="14850" width="29.42578125" bestFit="1" customWidth="1"/>
    <col min="14851" max="14851" width="14" bestFit="1" customWidth="1"/>
    <col min="14852" max="14852" width="3.7109375" customWidth="1"/>
    <col min="14853" max="14853" width="12.7109375" customWidth="1"/>
    <col min="14854" max="14854" width="3.7109375" customWidth="1"/>
    <col min="14855" max="14855" width="12.7109375" customWidth="1"/>
    <col min="14856" max="14856" width="3.7109375" customWidth="1"/>
    <col min="14857" max="14857" width="12.7109375" customWidth="1"/>
    <col min="14858" max="14858" width="3.7109375" customWidth="1"/>
    <col min="14859" max="14859" width="16.140625" bestFit="1" customWidth="1"/>
    <col min="14860" max="14860" width="8.42578125" customWidth="1"/>
    <col min="14862" max="14862" width="10" bestFit="1" customWidth="1"/>
    <col min="14863" max="14864" width="11" bestFit="1" customWidth="1"/>
    <col min="15105" max="15105" width="3.7109375" customWidth="1"/>
    <col min="15106" max="15106" width="29.42578125" bestFit="1" customWidth="1"/>
    <col min="15107" max="15107" width="14" bestFit="1" customWidth="1"/>
    <col min="15108" max="15108" width="3.7109375" customWidth="1"/>
    <col min="15109" max="15109" width="12.7109375" customWidth="1"/>
    <col min="15110" max="15110" width="3.7109375" customWidth="1"/>
    <col min="15111" max="15111" width="12.7109375" customWidth="1"/>
    <col min="15112" max="15112" width="3.7109375" customWidth="1"/>
    <col min="15113" max="15113" width="12.7109375" customWidth="1"/>
    <col min="15114" max="15114" width="3.7109375" customWidth="1"/>
    <col min="15115" max="15115" width="16.140625" bestFit="1" customWidth="1"/>
    <col min="15116" max="15116" width="8.42578125" customWidth="1"/>
    <col min="15118" max="15118" width="10" bestFit="1" customWidth="1"/>
    <col min="15119" max="15120" width="11" bestFit="1" customWidth="1"/>
    <col min="15361" max="15361" width="3.7109375" customWidth="1"/>
    <col min="15362" max="15362" width="29.42578125" bestFit="1" customWidth="1"/>
    <col min="15363" max="15363" width="14" bestFit="1" customWidth="1"/>
    <col min="15364" max="15364" width="3.7109375" customWidth="1"/>
    <col min="15365" max="15365" width="12.7109375" customWidth="1"/>
    <col min="15366" max="15366" width="3.7109375" customWidth="1"/>
    <col min="15367" max="15367" width="12.7109375" customWidth="1"/>
    <col min="15368" max="15368" width="3.7109375" customWidth="1"/>
    <col min="15369" max="15369" width="12.7109375" customWidth="1"/>
    <col min="15370" max="15370" width="3.7109375" customWidth="1"/>
    <col min="15371" max="15371" width="16.140625" bestFit="1" customWidth="1"/>
    <col min="15372" max="15372" width="8.42578125" customWidth="1"/>
    <col min="15374" max="15374" width="10" bestFit="1" customWidth="1"/>
    <col min="15375" max="15376" width="11" bestFit="1" customWidth="1"/>
    <col min="15617" max="15617" width="3.7109375" customWidth="1"/>
    <col min="15618" max="15618" width="29.42578125" bestFit="1" customWidth="1"/>
    <col min="15619" max="15619" width="14" bestFit="1" customWidth="1"/>
    <col min="15620" max="15620" width="3.7109375" customWidth="1"/>
    <col min="15621" max="15621" width="12.7109375" customWidth="1"/>
    <col min="15622" max="15622" width="3.7109375" customWidth="1"/>
    <col min="15623" max="15623" width="12.7109375" customWidth="1"/>
    <col min="15624" max="15624" width="3.7109375" customWidth="1"/>
    <col min="15625" max="15625" width="12.7109375" customWidth="1"/>
    <col min="15626" max="15626" width="3.7109375" customWidth="1"/>
    <col min="15627" max="15627" width="16.140625" bestFit="1" customWidth="1"/>
    <col min="15628" max="15628" width="8.42578125" customWidth="1"/>
    <col min="15630" max="15630" width="10" bestFit="1" customWidth="1"/>
    <col min="15631" max="15632" width="11" bestFit="1" customWidth="1"/>
    <col min="15873" max="15873" width="3.7109375" customWidth="1"/>
    <col min="15874" max="15874" width="29.42578125" bestFit="1" customWidth="1"/>
    <col min="15875" max="15875" width="14" bestFit="1" customWidth="1"/>
    <col min="15876" max="15876" width="3.7109375" customWidth="1"/>
    <col min="15877" max="15877" width="12.7109375" customWidth="1"/>
    <col min="15878" max="15878" width="3.7109375" customWidth="1"/>
    <col min="15879" max="15879" width="12.7109375" customWidth="1"/>
    <col min="15880" max="15880" width="3.7109375" customWidth="1"/>
    <col min="15881" max="15881" width="12.7109375" customWidth="1"/>
    <col min="15882" max="15882" width="3.7109375" customWidth="1"/>
    <col min="15883" max="15883" width="16.140625" bestFit="1" customWidth="1"/>
    <col min="15884" max="15884" width="8.42578125" customWidth="1"/>
    <col min="15886" max="15886" width="10" bestFit="1" customWidth="1"/>
    <col min="15887" max="15888" width="11" bestFit="1" customWidth="1"/>
    <col min="16129" max="16129" width="3.7109375" customWidth="1"/>
    <col min="16130" max="16130" width="29.42578125" bestFit="1" customWidth="1"/>
    <col min="16131" max="16131" width="14" bestFit="1" customWidth="1"/>
    <col min="16132" max="16132" width="3.7109375" customWidth="1"/>
    <col min="16133" max="16133" width="12.7109375" customWidth="1"/>
    <col min="16134" max="16134" width="3.7109375" customWidth="1"/>
    <col min="16135" max="16135" width="12.7109375" customWidth="1"/>
    <col min="16136" max="16136" width="3.7109375" customWidth="1"/>
    <col min="16137" max="16137" width="12.7109375" customWidth="1"/>
    <col min="16138" max="16138" width="3.7109375" customWidth="1"/>
    <col min="16139" max="16139" width="16.140625" bestFit="1" customWidth="1"/>
    <col min="16140" max="16140" width="8.42578125" customWidth="1"/>
    <col min="16142" max="16142" width="10" bestFit="1" customWidth="1"/>
    <col min="16143" max="16144" width="11" bestFit="1" customWidth="1"/>
  </cols>
  <sheetData>
    <row r="1" spans="1:28" s="235" customFormat="1" ht="18.75" thickBot="1" x14ac:dyDescent="0.3">
      <c r="A1" s="37" t="s">
        <v>9</v>
      </c>
      <c r="B1" s="231"/>
      <c r="C1" s="231"/>
      <c r="D1" s="231"/>
      <c r="E1" s="231"/>
      <c r="F1" s="231"/>
      <c r="G1" s="231"/>
      <c r="H1" s="231"/>
      <c r="I1" s="231"/>
      <c r="J1" s="231"/>
      <c r="K1" s="232" t="str">
        <f>+USHE!S1</f>
        <v>March 2023</v>
      </c>
      <c r="L1" s="233"/>
      <c r="M1" s="234"/>
      <c r="N1" s="233"/>
      <c r="O1" s="233"/>
      <c r="P1" s="233"/>
      <c r="Q1" s="233"/>
      <c r="R1" s="233"/>
      <c r="S1" s="233"/>
      <c r="T1" s="234"/>
    </row>
    <row r="2" spans="1:28" ht="20.25" x14ac:dyDescent="0.3">
      <c r="A2" s="55" t="s">
        <v>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8.75" x14ac:dyDescent="0.3">
      <c r="A3" s="57" t="s">
        <v>129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ht="8.1" customHeight="1" x14ac:dyDescent="0.3">
      <c r="A4" s="58"/>
      <c r="B4" s="58"/>
      <c r="C4" s="59"/>
      <c r="D4" s="58"/>
      <c r="E4" s="60"/>
      <c r="F4" s="58"/>
      <c r="G4" s="59"/>
      <c r="H4" s="58"/>
      <c r="I4" s="60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61" customFormat="1" ht="16.5" x14ac:dyDescent="0.3">
      <c r="C5" s="156" t="s">
        <v>52</v>
      </c>
      <c r="D5" s="156"/>
      <c r="E5" s="156"/>
      <c r="F5" s="156"/>
      <c r="G5" s="481" t="s">
        <v>52</v>
      </c>
      <c r="H5" s="481"/>
      <c r="I5" s="481"/>
      <c r="K5" s="62" t="s">
        <v>53</v>
      </c>
      <c r="L5" s="62"/>
    </row>
    <row r="6" spans="1:28" s="61" customFormat="1" ht="18" x14ac:dyDescent="0.3">
      <c r="C6" s="482" t="s">
        <v>128</v>
      </c>
      <c r="D6" s="482"/>
      <c r="E6" s="482"/>
      <c r="F6" s="63"/>
      <c r="G6" s="482" t="s">
        <v>131</v>
      </c>
      <c r="H6" s="482"/>
      <c r="I6" s="482"/>
      <c r="J6" s="62"/>
      <c r="K6" s="64" t="s">
        <v>132</v>
      </c>
      <c r="L6" s="62"/>
    </row>
    <row r="7" spans="1:28" s="61" customFormat="1" ht="16.5" hidden="1" x14ac:dyDescent="0.3">
      <c r="A7" s="236" t="s">
        <v>54</v>
      </c>
      <c r="B7" s="65"/>
      <c r="C7" s="66"/>
      <c r="E7" s="62"/>
      <c r="G7" s="66"/>
      <c r="I7" s="62"/>
      <c r="J7" s="62"/>
      <c r="K7" s="62"/>
    </row>
    <row r="8" spans="1:28" s="61" customFormat="1" ht="16.5" hidden="1" x14ac:dyDescent="0.3">
      <c r="B8" s="61" t="s">
        <v>55</v>
      </c>
      <c r="C8" s="66">
        <v>24871271</v>
      </c>
      <c r="E8" s="62">
        <v>7.4099999999999999E-2</v>
      </c>
      <c r="G8" s="66">
        <v>26124491</v>
      </c>
      <c r="I8" s="62">
        <v>0.1016</v>
      </c>
      <c r="J8" s="62"/>
      <c r="K8" s="62"/>
    </row>
    <row r="9" spans="1:28" s="61" customFormat="1" ht="16.5" hidden="1" x14ac:dyDescent="0.3">
      <c r="B9" s="61" t="s">
        <v>56</v>
      </c>
      <c r="C9" s="66">
        <v>14124219</v>
      </c>
      <c r="E9" s="62">
        <v>4.2099999999999999E-2</v>
      </c>
      <c r="G9" s="66">
        <v>14577100</v>
      </c>
      <c r="I9" s="62">
        <v>5.67E-2</v>
      </c>
      <c r="J9" s="62"/>
      <c r="K9" s="62"/>
    </row>
    <row r="10" spans="1:28" s="61" customFormat="1" ht="16.5" hidden="1" x14ac:dyDescent="0.3">
      <c r="B10" s="61" t="s">
        <v>4</v>
      </c>
      <c r="C10" s="66">
        <v>1853927</v>
      </c>
      <c r="E10" s="62">
        <v>5.4999999999999997E-3</v>
      </c>
      <c r="G10" s="66">
        <v>138900</v>
      </c>
      <c r="I10" s="62">
        <v>5.0000000000000001E-4</v>
      </c>
      <c r="J10" s="62"/>
      <c r="K10" s="62"/>
      <c r="AB10" s="61">
        <f>13583300+900-173400</f>
        <v>13410800</v>
      </c>
    </row>
    <row r="11" spans="1:28" s="61" customFormat="1" ht="6" hidden="1" customHeight="1" x14ac:dyDescent="0.3">
      <c r="C11" s="66"/>
      <c r="E11" s="62"/>
      <c r="G11" s="66"/>
      <c r="I11" s="62"/>
      <c r="J11" s="62"/>
      <c r="K11" s="62"/>
    </row>
    <row r="12" spans="1:28" s="61" customFormat="1" ht="16.5" hidden="1" x14ac:dyDescent="0.3">
      <c r="A12" s="236" t="s">
        <v>57</v>
      </c>
      <c r="B12" s="65"/>
      <c r="C12" s="66"/>
      <c r="E12" s="62"/>
      <c r="G12" s="66"/>
      <c r="I12" s="62"/>
      <c r="J12" s="62"/>
      <c r="K12" s="62"/>
    </row>
    <row r="13" spans="1:28" s="61" customFormat="1" ht="16.5" hidden="1" x14ac:dyDescent="0.3">
      <c r="B13" s="61" t="s">
        <v>55</v>
      </c>
      <c r="C13" s="66">
        <v>27172500</v>
      </c>
      <c r="E13" s="62">
        <v>7.8700000000000006E-2</v>
      </c>
      <c r="G13" s="66">
        <v>21330100</v>
      </c>
      <c r="I13" s="62">
        <v>8.2199999999999995E-2</v>
      </c>
      <c r="J13" s="62"/>
      <c r="K13" s="62"/>
    </row>
    <row r="14" spans="1:28" s="61" customFormat="1" ht="16.5" hidden="1" x14ac:dyDescent="0.3">
      <c r="B14" s="61" t="s">
        <v>56</v>
      </c>
      <c r="C14" s="66">
        <v>16578300</v>
      </c>
      <c r="E14" s="62">
        <v>4.7500000000000001E-2</v>
      </c>
      <c r="G14" s="66">
        <v>10805000</v>
      </c>
      <c r="I14" s="62">
        <v>2.9100000000000001E-2</v>
      </c>
      <c r="J14" s="62"/>
      <c r="K14" s="62"/>
    </row>
    <row r="15" spans="1:28" s="61" customFormat="1" ht="16.5" hidden="1" x14ac:dyDescent="0.3">
      <c r="B15" s="61" t="s">
        <v>4</v>
      </c>
      <c r="C15" s="66">
        <v>18146400</v>
      </c>
      <c r="E15" s="62">
        <v>5.2699999999999997E-2</v>
      </c>
      <c r="G15" s="66">
        <v>12585500</v>
      </c>
      <c r="I15" s="62">
        <v>4.8500000000000001E-2</v>
      </c>
      <c r="J15" s="62"/>
      <c r="K15" s="62">
        <v>0.18</v>
      </c>
    </row>
    <row r="16" spans="1:28" s="61" customFormat="1" ht="6" hidden="1" customHeight="1" x14ac:dyDescent="0.3">
      <c r="C16" s="66"/>
      <c r="E16" s="62"/>
      <c r="G16" s="66"/>
      <c r="I16" s="62"/>
      <c r="J16" s="62"/>
      <c r="K16" s="62"/>
    </row>
    <row r="17" spans="1:12" s="61" customFormat="1" ht="16.5" hidden="1" x14ac:dyDescent="0.3">
      <c r="A17" s="236" t="s">
        <v>58</v>
      </c>
      <c r="B17" s="65"/>
      <c r="C17" s="66"/>
      <c r="E17" s="62"/>
      <c r="G17" s="66"/>
      <c r="I17" s="62"/>
      <c r="J17" s="62"/>
      <c r="K17" s="62"/>
    </row>
    <row r="18" spans="1:12" s="61" customFormat="1" ht="16.5" hidden="1" x14ac:dyDescent="0.3">
      <c r="B18" s="61" t="s">
        <v>55</v>
      </c>
      <c r="C18" s="66">
        <v>47197700</v>
      </c>
      <c r="E18" s="62">
        <v>0.12809999999999999</v>
      </c>
      <c r="G18" s="66">
        <v>40924500</v>
      </c>
      <c r="I18" s="62">
        <v>0.14929999999999999</v>
      </c>
      <c r="J18" s="62"/>
      <c r="K18" s="62"/>
    </row>
    <row r="19" spans="1:12" s="61" customFormat="1" ht="16.5" hidden="1" x14ac:dyDescent="0.3">
      <c r="B19" s="61" t="s">
        <v>56</v>
      </c>
      <c r="C19" s="66">
        <v>28390800</v>
      </c>
      <c r="E19" s="62">
        <v>7.6499999999999999E-2</v>
      </c>
      <c r="G19" s="66">
        <v>21635500</v>
      </c>
      <c r="I19" s="62">
        <v>7.9000000000000001E-2</v>
      </c>
      <c r="J19" s="62"/>
      <c r="K19" s="62"/>
    </row>
    <row r="20" spans="1:12" s="61" customFormat="1" ht="16.5" hidden="1" x14ac:dyDescent="0.3">
      <c r="B20" s="61" t="s">
        <v>4</v>
      </c>
      <c r="C20" s="66">
        <v>28930900</v>
      </c>
      <c r="E20" s="62">
        <v>7.85E-2</v>
      </c>
      <c r="G20" s="66">
        <v>21151200</v>
      </c>
      <c r="I20" s="62">
        <v>7.7200000000000005E-2</v>
      </c>
      <c r="J20" s="62"/>
      <c r="K20" s="62">
        <v>0.17499999999999999</v>
      </c>
    </row>
    <row r="21" spans="1:12" s="61" customFormat="1" ht="6" hidden="1" customHeight="1" x14ac:dyDescent="0.3">
      <c r="C21" s="66"/>
      <c r="E21" s="62"/>
      <c r="G21" s="66"/>
      <c r="I21" s="62"/>
      <c r="J21" s="62"/>
      <c r="K21" s="62"/>
    </row>
    <row r="22" spans="1:12" s="61" customFormat="1" ht="16.5" hidden="1" x14ac:dyDescent="0.3">
      <c r="A22" s="236" t="s">
        <v>59</v>
      </c>
      <c r="B22" s="65"/>
      <c r="C22" s="66"/>
      <c r="E22" s="62"/>
      <c r="G22" s="66"/>
      <c r="I22" s="62"/>
      <c r="J22" s="62"/>
      <c r="K22" s="62"/>
    </row>
    <row r="23" spans="1:12" s="61" customFormat="1" ht="16.5" hidden="1" x14ac:dyDescent="0.3">
      <c r="B23" s="61" t="s">
        <v>55</v>
      </c>
      <c r="C23" s="66">
        <v>68737700</v>
      </c>
      <c r="E23" s="62">
        <v>0.1724</v>
      </c>
      <c r="G23" s="66">
        <v>57625000</v>
      </c>
      <c r="I23" s="62">
        <v>0.1951</v>
      </c>
      <c r="J23" s="62"/>
      <c r="K23" s="62"/>
    </row>
    <row r="24" spans="1:12" s="61" customFormat="1" ht="16.5" hidden="1" x14ac:dyDescent="0.3">
      <c r="B24" s="61" t="s">
        <v>56</v>
      </c>
      <c r="C24" s="66">
        <v>35567200</v>
      </c>
      <c r="E24" s="62">
        <v>8.9200000000000002E-2</v>
      </c>
      <c r="G24" s="66">
        <v>26055600</v>
      </c>
      <c r="I24" s="62">
        <v>8.8200000000000001E-2</v>
      </c>
      <c r="J24" s="62"/>
      <c r="K24" s="62"/>
    </row>
    <row r="25" spans="1:12" s="61" customFormat="1" ht="16.5" hidden="1" x14ac:dyDescent="0.3">
      <c r="B25" s="61" t="s">
        <v>4</v>
      </c>
      <c r="C25" s="66">
        <v>32610000</v>
      </c>
      <c r="E25" s="62">
        <v>8.1799999999999998E-2</v>
      </c>
      <c r="G25" s="66">
        <v>24176500</v>
      </c>
      <c r="I25" s="62">
        <v>8.1799999999999998E-2</v>
      </c>
      <c r="J25" s="62"/>
      <c r="K25" s="62">
        <v>0.17649999999999999</v>
      </c>
      <c r="L25" s="62"/>
    </row>
    <row r="26" spans="1:12" s="61" customFormat="1" ht="6" hidden="1" customHeight="1" x14ac:dyDescent="0.3">
      <c r="C26" s="66"/>
      <c r="E26" s="62"/>
      <c r="G26" s="66"/>
      <c r="I26" s="62"/>
      <c r="J26" s="62"/>
      <c r="K26" s="62"/>
      <c r="L26" s="62"/>
    </row>
    <row r="27" spans="1:12" s="61" customFormat="1" ht="16.5" hidden="1" x14ac:dyDescent="0.3">
      <c r="A27" s="67" t="s">
        <v>60</v>
      </c>
      <c r="B27" s="65"/>
      <c r="C27" s="66"/>
      <c r="E27" s="62"/>
      <c r="G27" s="66"/>
      <c r="I27" s="62"/>
      <c r="J27" s="62"/>
      <c r="K27" s="62"/>
      <c r="L27" s="62"/>
    </row>
    <row r="28" spans="1:12" s="61" customFormat="1" ht="15.95" hidden="1" customHeight="1" x14ac:dyDescent="0.3">
      <c r="A28" s="67"/>
      <c r="B28" s="61" t="s">
        <v>55</v>
      </c>
      <c r="C28" s="66">
        <v>70924700</v>
      </c>
      <c r="E28" s="62">
        <v>0.16389999999999999</v>
      </c>
      <c r="G28" s="66">
        <v>53151800</v>
      </c>
      <c r="I28" s="62">
        <v>0.1663</v>
      </c>
      <c r="J28" s="62"/>
      <c r="K28" s="62"/>
      <c r="L28" s="62"/>
    </row>
    <row r="29" spans="1:12" s="61" customFormat="1" ht="15.95" hidden="1" customHeight="1" x14ac:dyDescent="0.3">
      <c r="A29" s="67"/>
      <c r="B29" s="61" t="s">
        <v>56</v>
      </c>
      <c r="C29" s="66">
        <v>35178600</v>
      </c>
      <c r="E29" s="62">
        <v>8.1299999999999997E-2</v>
      </c>
      <c r="G29" s="66">
        <v>17735200</v>
      </c>
      <c r="I29" s="62">
        <v>5.5500000000000001E-2</v>
      </c>
      <c r="J29" s="62"/>
      <c r="K29" s="62"/>
      <c r="L29" s="62"/>
    </row>
    <row r="30" spans="1:12" s="61" customFormat="1" ht="15.95" hidden="1" customHeight="1" x14ac:dyDescent="0.3">
      <c r="A30" s="67"/>
      <c r="B30" s="61" t="s">
        <v>4</v>
      </c>
      <c r="C30" s="66">
        <v>28149200</v>
      </c>
      <c r="E30" s="62">
        <v>6.5100000000000005E-2</v>
      </c>
      <c r="G30" s="66">
        <v>19237800</v>
      </c>
      <c r="I30" s="62">
        <v>6.0199999999999997E-2</v>
      </c>
      <c r="J30" s="62"/>
      <c r="K30" s="62">
        <v>0.1774</v>
      </c>
      <c r="L30" s="62"/>
    </row>
    <row r="31" spans="1:12" s="61" customFormat="1" ht="6" hidden="1" customHeight="1" x14ac:dyDescent="0.3">
      <c r="A31" s="67"/>
      <c r="C31" s="66"/>
      <c r="E31" s="62"/>
      <c r="G31" s="66"/>
      <c r="I31" s="62"/>
      <c r="J31" s="62"/>
      <c r="K31" s="62"/>
      <c r="L31" s="62"/>
    </row>
    <row r="32" spans="1:12" s="61" customFormat="1" ht="16.5" hidden="1" x14ac:dyDescent="0.3">
      <c r="A32" s="67" t="s">
        <v>61</v>
      </c>
      <c r="B32" s="65"/>
      <c r="C32" s="66"/>
      <c r="E32" s="62"/>
      <c r="G32" s="66"/>
      <c r="I32" s="62"/>
      <c r="J32" s="62"/>
      <c r="K32" s="62"/>
      <c r="L32" s="62"/>
    </row>
    <row r="33" spans="1:12" s="61" customFormat="1" ht="15.95" hidden="1" customHeight="1" x14ac:dyDescent="0.3">
      <c r="A33" s="67"/>
      <c r="B33" s="61" t="s">
        <v>55</v>
      </c>
      <c r="C33" s="66">
        <v>75561900</v>
      </c>
      <c r="E33" s="62">
        <v>0.16400000000000001</v>
      </c>
      <c r="G33" s="66">
        <v>55077400</v>
      </c>
      <c r="I33" s="62">
        <v>0.16259999999999999</v>
      </c>
      <c r="J33" s="62"/>
      <c r="K33" s="62"/>
      <c r="L33" s="62"/>
    </row>
    <row r="34" spans="1:12" s="61" customFormat="1" ht="15.95" hidden="1" customHeight="1" x14ac:dyDescent="0.3">
      <c r="A34" s="67"/>
      <c r="B34" s="61" t="s">
        <v>62</v>
      </c>
      <c r="C34" s="66">
        <v>41065000</v>
      </c>
      <c r="E34" s="62">
        <v>8.9099999999999999E-2</v>
      </c>
      <c r="G34" s="66">
        <v>22585100</v>
      </c>
      <c r="I34" s="62">
        <v>6.6699999999999995E-2</v>
      </c>
      <c r="J34" s="62"/>
      <c r="K34" s="62"/>
      <c r="L34" s="62"/>
    </row>
    <row r="35" spans="1:12" s="61" customFormat="1" ht="15.95" hidden="1" customHeight="1" x14ac:dyDescent="0.3">
      <c r="A35" s="67"/>
      <c r="B35" s="61" t="s">
        <v>4</v>
      </c>
      <c r="C35" s="66">
        <v>42817400</v>
      </c>
      <c r="E35" s="62">
        <v>9.2899999999999996E-2</v>
      </c>
      <c r="G35" s="66">
        <v>23319300</v>
      </c>
      <c r="I35" s="62">
        <v>6.88E-2</v>
      </c>
      <c r="J35" s="62"/>
      <c r="K35" s="62">
        <v>0.17269999999999999</v>
      </c>
      <c r="L35" s="62"/>
    </row>
    <row r="36" spans="1:12" s="61" customFormat="1" ht="6" hidden="1" customHeight="1" x14ac:dyDescent="0.3">
      <c r="A36" s="67"/>
      <c r="C36" s="66"/>
      <c r="E36" s="62"/>
      <c r="G36" s="66"/>
      <c r="I36" s="62"/>
      <c r="J36" s="62"/>
      <c r="K36" s="62"/>
      <c r="L36" s="62"/>
    </row>
    <row r="37" spans="1:12" s="61" customFormat="1" ht="16.5" hidden="1" x14ac:dyDescent="0.3">
      <c r="A37" s="67" t="s">
        <v>63</v>
      </c>
      <c r="B37" s="65"/>
      <c r="C37" s="66"/>
      <c r="E37" s="62"/>
      <c r="G37" s="66"/>
      <c r="I37" s="62"/>
      <c r="J37" s="62"/>
      <c r="K37" s="62"/>
      <c r="L37" s="62"/>
    </row>
    <row r="38" spans="1:12" s="61" customFormat="1" ht="15.95" hidden="1" customHeight="1" x14ac:dyDescent="0.3">
      <c r="A38" s="67"/>
      <c r="B38" s="61" t="s">
        <v>55</v>
      </c>
      <c r="C38" s="66">
        <v>58508600</v>
      </c>
      <c r="E38" s="62">
        <v>0.11559999999999999</v>
      </c>
      <c r="G38" s="66">
        <v>44933400</v>
      </c>
      <c r="I38" s="62">
        <v>0.1241</v>
      </c>
      <c r="J38" s="62"/>
      <c r="K38" s="62"/>
      <c r="L38" s="62"/>
    </row>
    <row r="39" spans="1:12" s="61" customFormat="1" ht="15.95" hidden="1" customHeight="1" x14ac:dyDescent="0.3">
      <c r="A39" s="67"/>
      <c r="B39" s="61" t="s">
        <v>62</v>
      </c>
      <c r="C39" s="66">
        <v>43044400</v>
      </c>
      <c r="E39" s="62">
        <v>8.5099999999999995E-2</v>
      </c>
      <c r="G39" s="66">
        <v>31285300</v>
      </c>
      <c r="I39" s="62">
        <v>8.6400000000000005E-2</v>
      </c>
      <c r="J39" s="62"/>
      <c r="K39" s="62"/>
      <c r="L39" s="62"/>
    </row>
    <row r="40" spans="1:12" s="61" customFormat="1" ht="15.95" hidden="1" customHeight="1" x14ac:dyDescent="0.3">
      <c r="A40" s="67"/>
      <c r="B40" s="61" t="s">
        <v>4</v>
      </c>
      <c r="C40" s="66">
        <v>39468200</v>
      </c>
      <c r="E40" s="62">
        <v>7.8E-2</v>
      </c>
      <c r="G40" s="66">
        <v>28022200</v>
      </c>
      <c r="I40" s="62">
        <v>7.7399999999999997E-2</v>
      </c>
      <c r="J40" s="62"/>
      <c r="K40" s="62">
        <v>0.17119999999999999</v>
      </c>
      <c r="L40" s="62"/>
    </row>
    <row r="41" spans="1:12" s="61" customFormat="1" ht="6" hidden="1" customHeight="1" x14ac:dyDescent="0.3">
      <c r="A41" s="67"/>
      <c r="C41" s="66"/>
      <c r="E41" s="62"/>
      <c r="G41" s="66"/>
      <c r="I41" s="62"/>
      <c r="J41" s="62"/>
      <c r="K41" s="62"/>
      <c r="L41" s="62"/>
    </row>
    <row r="42" spans="1:12" s="61" customFormat="1" ht="16.5" hidden="1" x14ac:dyDescent="0.3">
      <c r="A42" s="67" t="s">
        <v>64</v>
      </c>
      <c r="B42" s="65"/>
      <c r="C42" s="66"/>
      <c r="E42" s="62"/>
      <c r="G42" s="66"/>
      <c r="I42" s="62"/>
      <c r="J42" s="62"/>
      <c r="K42" s="62"/>
      <c r="L42" s="62"/>
    </row>
    <row r="43" spans="1:12" s="61" customFormat="1" ht="15.95" hidden="1" customHeight="1" x14ac:dyDescent="0.3">
      <c r="A43" s="67"/>
      <c r="B43" s="61" t="s">
        <v>55</v>
      </c>
      <c r="C43" s="66">
        <v>57289100</v>
      </c>
      <c r="E43" s="62">
        <v>0.105</v>
      </c>
      <c r="G43" s="66">
        <v>45997300</v>
      </c>
      <c r="I43" s="62">
        <v>0.1179</v>
      </c>
      <c r="J43" s="62"/>
      <c r="K43" s="62"/>
      <c r="L43" s="62"/>
    </row>
    <row r="44" spans="1:12" s="61" customFormat="1" ht="15.95" hidden="1" customHeight="1" x14ac:dyDescent="0.3">
      <c r="A44" s="67"/>
      <c r="B44" s="61" t="s">
        <v>62</v>
      </c>
      <c r="C44" s="66">
        <v>40147000</v>
      </c>
      <c r="E44" s="62">
        <v>7.3599999999999999E-2</v>
      </c>
      <c r="G44" s="66">
        <v>29179100</v>
      </c>
      <c r="I44" s="62">
        <v>7.4800000000000005E-2</v>
      </c>
      <c r="J44" s="62"/>
      <c r="K44" s="62"/>
      <c r="L44" s="62"/>
    </row>
    <row r="45" spans="1:12" s="61" customFormat="1" ht="15.95" hidden="1" customHeight="1" x14ac:dyDescent="0.3">
      <c r="A45" s="67"/>
      <c r="B45" s="61" t="s">
        <v>4</v>
      </c>
      <c r="C45" s="66">
        <v>37825400</v>
      </c>
      <c r="E45" s="62">
        <v>6.93E-2</v>
      </c>
      <c r="G45" s="66">
        <v>28158400</v>
      </c>
      <c r="I45" s="62">
        <v>7.22E-2</v>
      </c>
      <c r="J45" s="62"/>
      <c r="K45" s="62">
        <v>0.16300000000000001</v>
      </c>
      <c r="L45" s="62"/>
    </row>
    <row r="46" spans="1:12" s="61" customFormat="1" ht="6" hidden="1" customHeight="1" x14ac:dyDescent="0.3">
      <c r="A46" s="67"/>
      <c r="C46" s="66"/>
      <c r="E46" s="68"/>
      <c r="G46" s="66"/>
      <c r="I46" s="62"/>
      <c r="J46" s="62"/>
      <c r="K46" s="62"/>
      <c r="L46" s="62"/>
    </row>
    <row r="47" spans="1:12" s="61" customFormat="1" ht="16.5" hidden="1" x14ac:dyDescent="0.3">
      <c r="A47" s="67" t="s">
        <v>65</v>
      </c>
      <c r="B47" s="65"/>
      <c r="C47" s="66"/>
      <c r="E47" s="68"/>
      <c r="I47" s="62"/>
      <c r="J47" s="62"/>
      <c r="K47" s="62"/>
      <c r="L47" s="62"/>
    </row>
    <row r="48" spans="1:12" s="61" customFormat="1" ht="15.95" hidden="1" customHeight="1" x14ac:dyDescent="0.3">
      <c r="A48" s="67"/>
      <c r="B48" s="61" t="s">
        <v>55</v>
      </c>
      <c r="C48" s="66">
        <v>51333200</v>
      </c>
      <c r="E48" s="62">
        <v>8.7499999999999994E-2</v>
      </c>
      <c r="G48" s="66">
        <v>51031600</v>
      </c>
      <c r="I48" s="62">
        <v>0.12189999999999999</v>
      </c>
      <c r="J48" s="62"/>
      <c r="K48" s="62"/>
      <c r="L48" s="62"/>
    </row>
    <row r="49" spans="1:12" s="61" customFormat="1" ht="15.95" hidden="1" customHeight="1" x14ac:dyDescent="0.3">
      <c r="A49" s="67"/>
      <c r="B49" s="61" t="s">
        <v>62</v>
      </c>
      <c r="C49" s="66">
        <v>31665100</v>
      </c>
      <c r="E49" s="62">
        <v>5.3900000000000003E-2</v>
      </c>
      <c r="G49" s="66">
        <f>25246800+7506300</f>
        <v>32753100</v>
      </c>
      <c r="I49" s="62">
        <v>7.8299999999999995E-2</v>
      </c>
      <c r="J49" s="62"/>
      <c r="K49" s="62"/>
      <c r="L49" s="62"/>
    </row>
    <row r="50" spans="1:12" s="61" customFormat="1" ht="15.95" hidden="1" customHeight="1" x14ac:dyDescent="0.3">
      <c r="A50" s="67"/>
      <c r="B50" s="61" t="s">
        <v>4</v>
      </c>
      <c r="C50" s="69">
        <v>26100900</v>
      </c>
      <c r="E50" s="62">
        <f>C50/586161400</f>
        <v>4.4528520642949196E-2</v>
      </c>
      <c r="G50" s="69">
        <v>26234200</v>
      </c>
      <c r="H50" s="70"/>
      <c r="I50" s="71">
        <f>G50/418297200</f>
        <v>6.2716652179359553E-2</v>
      </c>
      <c r="J50" s="70"/>
      <c r="K50" s="62">
        <v>0.152</v>
      </c>
      <c r="L50" s="62"/>
    </row>
    <row r="51" spans="1:12" s="61" customFormat="1" ht="6" hidden="1" customHeight="1" x14ac:dyDescent="0.3">
      <c r="A51" s="67"/>
      <c r="C51" s="66"/>
      <c r="E51" s="62"/>
      <c r="G51" s="66"/>
      <c r="I51" s="71"/>
      <c r="K51" s="62"/>
      <c r="L51" s="62"/>
    </row>
    <row r="52" spans="1:12" s="61" customFormat="1" ht="16.5" hidden="1" x14ac:dyDescent="0.3">
      <c r="A52" s="67" t="s">
        <v>67</v>
      </c>
      <c r="C52" s="66"/>
      <c r="E52" s="62"/>
      <c r="G52" s="66"/>
      <c r="I52" s="71"/>
      <c r="K52" s="62"/>
      <c r="L52" s="62"/>
    </row>
    <row r="53" spans="1:12" s="61" customFormat="1" ht="15.95" hidden="1" customHeight="1" x14ac:dyDescent="0.3">
      <c r="A53" s="67"/>
      <c r="B53" s="61" t="s">
        <v>55</v>
      </c>
      <c r="C53" s="66">
        <f>43229700+2866800</f>
        <v>46096500</v>
      </c>
      <c r="E53" s="62">
        <v>7.5465943448305664E-2</v>
      </c>
      <c r="G53" s="66">
        <f>40790800+2866800</f>
        <v>43657600</v>
      </c>
      <c r="I53" s="62">
        <v>9.7938643876770884E-2</v>
      </c>
      <c r="J53" s="62"/>
      <c r="K53" s="62"/>
      <c r="L53" s="62"/>
    </row>
    <row r="54" spans="1:12" s="61" customFormat="1" ht="15.95" hidden="1" customHeight="1" x14ac:dyDescent="0.3">
      <c r="A54" s="67"/>
      <c r="B54" s="61" t="s">
        <v>62</v>
      </c>
      <c r="C54" s="66">
        <v>24045500</v>
      </c>
      <c r="E54" s="62">
        <v>3.9365599192698664E-2</v>
      </c>
      <c r="G54" s="66">
        <v>22150700</v>
      </c>
      <c r="I54" s="62">
        <v>4.9691451635481311E-2</v>
      </c>
      <c r="J54" s="62"/>
      <c r="K54" s="62"/>
      <c r="L54" s="62"/>
    </row>
    <row r="55" spans="1:12" s="61" customFormat="1" ht="15.95" hidden="1" customHeight="1" x14ac:dyDescent="0.3">
      <c r="A55" s="67"/>
      <c r="B55" s="61" t="s">
        <v>4</v>
      </c>
      <c r="C55" s="69">
        <v>19662700</v>
      </c>
      <c r="D55" s="70"/>
      <c r="E55" s="62">
        <v>3.2190387691928883E-2</v>
      </c>
      <c r="F55" s="70"/>
      <c r="G55" s="69">
        <v>19338000</v>
      </c>
      <c r="H55" s="70"/>
      <c r="I55" s="62">
        <v>4.3381621877725651E-2</v>
      </c>
      <c r="J55" s="70"/>
      <c r="K55" s="62">
        <v>0.154</v>
      </c>
      <c r="L55" s="62"/>
    </row>
    <row r="56" spans="1:12" s="61" customFormat="1" ht="6" hidden="1" customHeight="1" x14ac:dyDescent="0.3">
      <c r="A56" s="67"/>
      <c r="C56" s="66"/>
      <c r="E56" s="62"/>
      <c r="G56" s="66"/>
      <c r="I56" s="62"/>
      <c r="K56" s="62"/>
      <c r="L56" s="62"/>
    </row>
    <row r="57" spans="1:12" s="61" customFormat="1" ht="16.5" hidden="1" x14ac:dyDescent="0.3">
      <c r="A57" s="67" t="s">
        <v>68</v>
      </c>
      <c r="C57" s="66"/>
      <c r="E57" s="62"/>
      <c r="G57" s="66"/>
      <c r="I57" s="71"/>
      <c r="K57" s="62"/>
      <c r="L57" s="62"/>
    </row>
    <row r="58" spans="1:12" s="61" customFormat="1" ht="15.95" hidden="1" customHeight="1" x14ac:dyDescent="0.3">
      <c r="A58" s="67"/>
      <c r="B58" s="61" t="s">
        <v>55</v>
      </c>
      <c r="C58" s="66">
        <f>33540100+13080700</f>
        <v>46620800</v>
      </c>
      <c r="E58" s="62">
        <v>7.2282035881166773E-2</v>
      </c>
      <c r="G58" s="66">
        <v>42499300</v>
      </c>
      <c r="H58" s="62"/>
      <c r="I58" s="62">
        <v>8.9362567359458758E-2</v>
      </c>
      <c r="J58" s="62"/>
      <c r="K58" s="62"/>
      <c r="L58" s="62"/>
    </row>
    <row r="59" spans="1:12" s="61" customFormat="1" ht="15.95" hidden="1" customHeight="1" x14ac:dyDescent="0.3">
      <c r="A59" s="67"/>
      <c r="B59" s="61" t="s">
        <v>62</v>
      </c>
      <c r="C59" s="66">
        <f>45716300-4200000-1483100</f>
        <v>40033200</v>
      </c>
      <c r="E59" s="62">
        <v>6.2068458688781095E-2</v>
      </c>
      <c r="G59" s="66">
        <v>33270500</v>
      </c>
      <c r="H59" s="62"/>
      <c r="I59" s="62">
        <v>6.9957323940226607E-2</v>
      </c>
      <c r="J59" s="62"/>
      <c r="K59" s="62"/>
      <c r="L59" s="62"/>
    </row>
    <row r="60" spans="1:12" s="61" customFormat="1" ht="15.95" hidden="1" customHeight="1" x14ac:dyDescent="0.3">
      <c r="A60" s="67"/>
      <c r="B60" s="61" t="s">
        <v>4</v>
      </c>
      <c r="C60" s="69">
        <f>31961900-1477100-483100-150000</f>
        <v>29851700</v>
      </c>
      <c r="D60" s="65"/>
      <c r="E60" s="62">
        <v>4.6282810473304327E-2</v>
      </c>
      <c r="F60" s="65"/>
      <c r="G60" s="69">
        <v>23063600</v>
      </c>
      <c r="H60" s="65"/>
      <c r="I60" s="62">
        <v>4.8495446008560442E-2</v>
      </c>
      <c r="J60" s="70"/>
      <c r="K60" s="62">
        <v>0.152</v>
      </c>
      <c r="L60" s="62"/>
    </row>
    <row r="61" spans="1:12" s="61" customFormat="1" ht="6" hidden="1" customHeight="1" x14ac:dyDescent="0.3">
      <c r="A61" s="67"/>
      <c r="C61" s="66"/>
      <c r="E61" s="72"/>
      <c r="G61" s="66"/>
      <c r="I61" s="72"/>
      <c r="J61" s="70"/>
      <c r="K61" s="72"/>
      <c r="L61" s="72"/>
    </row>
    <row r="62" spans="1:12" s="61" customFormat="1" ht="16.5" hidden="1" x14ac:dyDescent="0.3">
      <c r="A62" s="67" t="s">
        <v>69</v>
      </c>
      <c r="C62" s="66"/>
      <c r="E62" s="62"/>
      <c r="G62" s="66"/>
      <c r="I62" s="71"/>
      <c r="K62" s="62"/>
      <c r="L62" s="62"/>
    </row>
    <row r="63" spans="1:12" s="61" customFormat="1" ht="15.95" hidden="1" customHeight="1" x14ac:dyDescent="0.3">
      <c r="A63" s="67"/>
      <c r="B63" s="61" t="s">
        <v>55</v>
      </c>
      <c r="C63" s="66">
        <v>52341900</v>
      </c>
      <c r="E63" s="62">
        <v>7.7204439344868744E-2</v>
      </c>
      <c r="G63" s="66">
        <v>50738800</v>
      </c>
      <c r="H63" s="62"/>
      <c r="I63" s="62">
        <v>0.10132427610539731</v>
      </c>
      <c r="J63" s="62"/>
      <c r="K63" s="62"/>
    </row>
    <row r="64" spans="1:12" s="61" customFormat="1" ht="15.95" hidden="1" customHeight="1" x14ac:dyDescent="0.3">
      <c r="A64" s="67"/>
      <c r="B64" s="61" t="s">
        <v>62</v>
      </c>
      <c r="C64" s="66">
        <v>23558400</v>
      </c>
      <c r="E64" s="62">
        <v>3.4748701592073571E-2</v>
      </c>
      <c r="G64" s="66">
        <v>19574400</v>
      </c>
      <c r="H64" s="62"/>
      <c r="I64" s="62">
        <v>3.9089649542312574E-2</v>
      </c>
      <c r="J64" s="62"/>
      <c r="K64" s="62"/>
    </row>
    <row r="65" spans="1:11" s="61" customFormat="1" ht="15.95" hidden="1" customHeight="1" x14ac:dyDescent="0.3">
      <c r="A65" s="67"/>
      <c r="B65" s="61" t="s">
        <v>4</v>
      </c>
      <c r="C65" s="69">
        <v>25647800</v>
      </c>
      <c r="D65" s="65"/>
      <c r="E65" s="62">
        <v>3.7830572054688968E-2</v>
      </c>
      <c r="F65" s="65"/>
      <c r="G65" s="69">
        <v>17475900</v>
      </c>
      <c r="H65" s="65"/>
      <c r="I65" s="62">
        <v>3.489899084705024E-2</v>
      </c>
      <c r="J65" s="65"/>
      <c r="K65" s="71">
        <v>0.153</v>
      </c>
    </row>
    <row r="66" spans="1:11" s="61" customFormat="1" ht="6" hidden="1" customHeight="1" x14ac:dyDescent="0.3">
      <c r="A66" s="67"/>
      <c r="C66" s="66"/>
      <c r="E66" s="72"/>
      <c r="G66" s="66"/>
      <c r="I66" s="72"/>
      <c r="K66" s="72"/>
    </row>
    <row r="67" spans="1:11" s="61" customFormat="1" ht="16.5" hidden="1" x14ac:dyDescent="0.3">
      <c r="A67" s="67" t="s">
        <v>70</v>
      </c>
      <c r="C67" s="66"/>
      <c r="E67" s="62"/>
      <c r="G67" s="66"/>
      <c r="I67" s="71"/>
      <c r="K67" s="62"/>
    </row>
    <row r="68" spans="1:11" s="61" customFormat="1" ht="15.95" hidden="1" customHeight="1" x14ac:dyDescent="0.3">
      <c r="A68" s="70"/>
      <c r="B68" s="61" t="s">
        <v>55</v>
      </c>
      <c r="C68" s="66">
        <f>77598700-6000000</f>
        <v>71598700</v>
      </c>
      <c r="E68" s="62">
        <v>0.10301932683417299</v>
      </c>
      <c r="G68" s="66">
        <f>C68-7670400</f>
        <v>63928300</v>
      </c>
      <c r="H68" s="62"/>
      <c r="I68" s="62">
        <v>0.12510528458148401</v>
      </c>
      <c r="J68" s="62"/>
      <c r="K68" s="62"/>
    </row>
    <row r="69" spans="1:11" s="61" customFormat="1" ht="15.95" hidden="1" customHeight="1" x14ac:dyDescent="0.3">
      <c r="B69" s="61" t="s">
        <v>62</v>
      </c>
      <c r="C69" s="66">
        <f>43597400-200000</f>
        <v>43397400</v>
      </c>
      <c r="E69" s="62">
        <v>6.244206856204567E-2</v>
      </c>
      <c r="G69" s="66">
        <f>37348100-200000</f>
        <v>37148100</v>
      </c>
      <c r="H69" s="62"/>
      <c r="I69" s="62">
        <v>7.2697437944719723E-2</v>
      </c>
      <c r="J69" s="62"/>
      <c r="K69" s="62"/>
    </row>
    <row r="70" spans="1:11" s="61" customFormat="1" ht="15.95" hidden="1" customHeight="1" x14ac:dyDescent="0.3">
      <c r="B70" s="61" t="s">
        <v>66</v>
      </c>
      <c r="C70" s="69">
        <v>41641500</v>
      </c>
      <c r="E70" s="62">
        <v>5.9915603193426904E-2</v>
      </c>
      <c r="F70" s="65"/>
      <c r="G70" s="69">
        <v>31143900</v>
      </c>
      <c r="I70" s="62">
        <v>6.0947443815607169E-2</v>
      </c>
      <c r="J70" s="65"/>
      <c r="K70" s="71">
        <v>0.14799999999999999</v>
      </c>
    </row>
    <row r="71" spans="1:11" s="61" customFormat="1" ht="6" hidden="1" customHeight="1" x14ac:dyDescent="0.3">
      <c r="A71" s="67"/>
      <c r="C71" s="66"/>
      <c r="E71" s="72"/>
      <c r="G71" s="66"/>
      <c r="I71" s="72"/>
      <c r="K71" s="72"/>
    </row>
    <row r="72" spans="1:11" s="61" customFormat="1" ht="16.5" hidden="1" x14ac:dyDescent="0.3">
      <c r="A72" s="67" t="s">
        <v>71</v>
      </c>
      <c r="C72" s="66"/>
      <c r="E72" s="62"/>
      <c r="G72" s="66"/>
      <c r="I72" s="71"/>
      <c r="K72" s="62"/>
    </row>
    <row r="73" spans="1:11" s="61" customFormat="1" ht="15.95" hidden="1" customHeight="1" x14ac:dyDescent="0.3">
      <c r="A73" s="70"/>
      <c r="B73" s="61" t="s">
        <v>55</v>
      </c>
      <c r="C73" s="66">
        <f>85602500+7143700+9495900</f>
        <v>102242100</v>
      </c>
      <c r="E73" s="62">
        <f>+C73/C$195</f>
        <v>0.13902173080947358</v>
      </c>
      <c r="G73" s="66">
        <f>2494700+62157600+3618800+7997900+9333500</f>
        <v>85602500</v>
      </c>
      <c r="H73" s="62"/>
      <c r="I73" s="62">
        <f>+G73/G$195</f>
        <v>0.15878137370813053</v>
      </c>
      <c r="J73" s="62"/>
      <c r="K73" s="62"/>
    </row>
    <row r="74" spans="1:11" s="61" customFormat="1" ht="15.95" hidden="1" customHeight="1" x14ac:dyDescent="0.3">
      <c r="B74" s="61" t="s">
        <v>62</v>
      </c>
      <c r="C74" s="66">
        <f>186700-4025200+82434000+2494700</f>
        <v>81090200</v>
      </c>
      <c r="E74" s="62">
        <f>+C74/C$195</f>
        <v>0.1102608412355221</v>
      </c>
      <c r="G74" s="66">
        <f>136700+50000-2939800+67143500+2494700</f>
        <v>66885100</v>
      </c>
      <c r="H74" s="62"/>
      <c r="I74" s="62">
        <f>+G74/G$195</f>
        <v>0.1240630595906157</v>
      </c>
      <c r="J74" s="62"/>
      <c r="K74" s="62"/>
    </row>
    <row r="75" spans="1:11" s="73" customFormat="1" ht="15.95" hidden="1" customHeight="1" x14ac:dyDescent="0.3">
      <c r="A75" s="61"/>
      <c r="B75" s="237" t="s">
        <v>66</v>
      </c>
      <c r="C75" s="238">
        <f>49306800+7143700+8018200+203000-1056300</f>
        <v>63615400</v>
      </c>
      <c r="D75" s="237"/>
      <c r="E75" s="239">
        <f>+C75/C$195</f>
        <v>8.6499817728088374E-2</v>
      </c>
      <c r="F75" s="240"/>
      <c r="G75" s="238">
        <v>49306800</v>
      </c>
      <c r="H75" s="237"/>
      <c r="I75" s="239">
        <v>8.8999999999999996E-2</v>
      </c>
      <c r="J75" s="65"/>
      <c r="K75" s="71">
        <f>606817300/(3889104350)</f>
        <v>0.15603008955005282</v>
      </c>
    </row>
    <row r="76" spans="1:11" s="61" customFormat="1" ht="15.95" hidden="1" customHeight="1" x14ac:dyDescent="0.3">
      <c r="B76" s="61" t="s">
        <v>66</v>
      </c>
      <c r="C76" s="69">
        <f>+C75-9911000</f>
        <v>53704400</v>
      </c>
      <c r="E76" s="62">
        <f>+C76/C$195</f>
        <v>7.302352592605485E-2</v>
      </c>
      <c r="F76" s="65"/>
      <c r="G76" s="69">
        <f>+G75-19667000</f>
        <v>29639800</v>
      </c>
      <c r="I76" s="62">
        <f>+G76/G$195</f>
        <v>5.4977928920700296E-2</v>
      </c>
      <c r="J76" s="65"/>
      <c r="K76" s="71">
        <v>0.157</v>
      </c>
    </row>
    <row r="77" spans="1:11" s="61" customFormat="1" ht="6" hidden="1" customHeight="1" x14ac:dyDescent="0.3">
      <c r="A77" s="67"/>
      <c r="C77" s="66"/>
      <c r="E77" s="72"/>
      <c r="G77" s="66"/>
      <c r="I77" s="72"/>
      <c r="K77" s="72"/>
    </row>
    <row r="78" spans="1:11" s="61" customFormat="1" ht="16.5" hidden="1" x14ac:dyDescent="0.3">
      <c r="A78" s="67" t="s">
        <v>72</v>
      </c>
      <c r="C78" s="66"/>
      <c r="E78" s="62"/>
      <c r="G78" s="66"/>
      <c r="I78" s="71"/>
      <c r="K78" s="62"/>
    </row>
    <row r="79" spans="1:11" s="61" customFormat="1" ht="15.95" hidden="1" customHeight="1" x14ac:dyDescent="0.3">
      <c r="A79" s="70"/>
      <c r="B79" s="61" t="s">
        <v>55</v>
      </c>
      <c r="C79" s="66">
        <f>42178300+22960300</f>
        <v>65138600</v>
      </c>
      <c r="E79" s="62">
        <f>+C79/C$196</f>
        <v>8.1524636075539447E-2</v>
      </c>
      <c r="G79" s="66">
        <v>42178300</v>
      </c>
      <c r="H79" s="62"/>
      <c r="I79" s="62">
        <f>+G79/G$196</f>
        <v>7.178975952184527E-2</v>
      </c>
      <c r="J79" s="62"/>
      <c r="K79" s="62"/>
    </row>
    <row r="80" spans="1:11" s="61" customFormat="1" ht="15.95" hidden="1" customHeight="1" x14ac:dyDescent="0.3">
      <c r="B80" s="61" t="s">
        <v>62</v>
      </c>
      <c r="C80" s="66">
        <f>+G80+22901200</f>
        <v>12843200</v>
      </c>
      <c r="E80" s="62">
        <f>+C80/C$196</f>
        <v>1.6073990015833442E-2</v>
      </c>
      <c r="G80" s="66">
        <v>-10058000</v>
      </c>
      <c r="H80" s="62"/>
      <c r="I80" s="62">
        <f>+G80/G$196</f>
        <v>-1.7119262778981605E-2</v>
      </c>
      <c r="J80" s="62"/>
      <c r="K80" s="62"/>
    </row>
    <row r="81" spans="1:12" s="61" customFormat="1" ht="15.95" hidden="1" customHeight="1" x14ac:dyDescent="0.3">
      <c r="B81" s="61" t="s">
        <v>73</v>
      </c>
      <c r="C81" s="69">
        <f>25960400-8591000</f>
        <v>17369400</v>
      </c>
      <c r="E81" s="62">
        <f>+C81/C$196</f>
        <v>2.1738784896366745E-2</v>
      </c>
      <c r="F81" s="65"/>
      <c r="G81" s="69">
        <f>-18056300-210700</f>
        <v>-18267000</v>
      </c>
      <c r="I81" s="62">
        <f>+G81/G$196</f>
        <v>-3.1091427041524851E-2</v>
      </c>
      <c r="J81" s="65"/>
      <c r="K81" s="241"/>
    </row>
    <row r="82" spans="1:12" s="61" customFormat="1" ht="17.100000000000001" hidden="1" customHeight="1" x14ac:dyDescent="0.3">
      <c r="B82" s="74" t="s">
        <v>74</v>
      </c>
      <c r="C82" s="69">
        <f>C81-2496800-3161600</f>
        <v>11711000</v>
      </c>
      <c r="E82" s="62">
        <f>+C82/C$196</f>
        <v>1.4656977783996623E-2</v>
      </c>
      <c r="F82" s="65"/>
      <c r="G82" s="69">
        <f>G81-2496800-3161600</f>
        <v>-23925400</v>
      </c>
      <c r="I82" s="62">
        <f>+G82/G$196</f>
        <v>-4.0722331446833016E-2</v>
      </c>
      <c r="J82" s="65"/>
      <c r="K82" s="241">
        <v>0.1595</v>
      </c>
    </row>
    <row r="83" spans="1:12" s="61" customFormat="1" ht="6" hidden="1" customHeight="1" x14ac:dyDescent="0.3">
      <c r="A83" s="67"/>
      <c r="C83" s="66"/>
      <c r="E83" s="72"/>
      <c r="G83" s="66"/>
      <c r="I83" s="72"/>
      <c r="K83" s="72"/>
    </row>
    <row r="84" spans="1:12" s="61" customFormat="1" ht="16.5" hidden="1" x14ac:dyDescent="0.3">
      <c r="A84" s="67" t="s">
        <v>75</v>
      </c>
      <c r="C84" s="66"/>
      <c r="E84" s="62"/>
      <c r="G84" s="66"/>
      <c r="I84" s="71"/>
      <c r="K84" s="62"/>
    </row>
    <row r="85" spans="1:12" s="61" customFormat="1" ht="15.95" hidden="1" customHeight="1" x14ac:dyDescent="0.3">
      <c r="A85" s="70"/>
      <c r="B85" s="61" t="s">
        <v>55</v>
      </c>
      <c r="C85" s="66">
        <f>74073600+19633300</f>
        <v>93706900</v>
      </c>
      <c r="D85" s="242"/>
      <c r="E85" s="62">
        <f>+C85/C$197</f>
        <v>0.11401749826796204</v>
      </c>
      <c r="G85" s="66">
        <v>74073600</v>
      </c>
      <c r="H85" s="62"/>
      <c r="I85" s="62">
        <f>+G85/G$197</f>
        <v>0.13086544904878497</v>
      </c>
      <c r="J85" s="62"/>
      <c r="K85" s="62"/>
    </row>
    <row r="86" spans="1:12" s="61" customFormat="1" ht="15.95" hidden="1" customHeight="1" x14ac:dyDescent="0.3">
      <c r="B86" s="61" t="s">
        <v>62</v>
      </c>
      <c r="C86" s="66">
        <v>38025300</v>
      </c>
      <c r="D86" s="243"/>
      <c r="E86" s="62">
        <f>+C86/C$197</f>
        <v>4.6267132696618252E-2</v>
      </c>
      <c r="G86" s="66">
        <v>18464500</v>
      </c>
      <c r="H86" s="62"/>
      <c r="I86" s="62">
        <f>+G86/G$197</f>
        <v>3.2621137408756835E-2</v>
      </c>
      <c r="J86" s="62"/>
      <c r="K86" s="62"/>
    </row>
    <row r="87" spans="1:12" s="61" customFormat="1" ht="15.95" hidden="1" customHeight="1" x14ac:dyDescent="0.3">
      <c r="B87" s="61" t="s">
        <v>66</v>
      </c>
      <c r="C87" s="69">
        <v>51185200</v>
      </c>
      <c r="D87" s="242"/>
      <c r="E87" s="62">
        <f>+C87/C$197</f>
        <v>6.227938873599799E-2</v>
      </c>
      <c r="F87" s="65"/>
      <c r="G87" s="69">
        <v>-677800</v>
      </c>
      <c r="I87" s="62">
        <f>+G87/G$197</f>
        <v>-1.1974657822121035E-3</v>
      </c>
      <c r="J87" s="65"/>
      <c r="K87" s="62">
        <v>0.15820000000000001</v>
      </c>
    </row>
    <row r="88" spans="1:12" s="61" customFormat="1" ht="6" hidden="1" customHeight="1" x14ac:dyDescent="0.3">
      <c r="A88" s="67"/>
      <c r="C88" s="66"/>
      <c r="E88" s="72"/>
      <c r="G88" s="66"/>
      <c r="I88" s="72"/>
      <c r="K88" s="72"/>
    </row>
    <row r="89" spans="1:12" s="61" customFormat="1" ht="16.5" hidden="1" x14ac:dyDescent="0.3">
      <c r="A89" s="67" t="s">
        <v>76</v>
      </c>
      <c r="C89" s="66"/>
      <c r="E89" s="62"/>
      <c r="G89" s="66"/>
      <c r="I89" s="71"/>
      <c r="K89" s="62"/>
    </row>
    <row r="90" spans="1:12" s="61" customFormat="1" ht="15.95" hidden="1" customHeight="1" x14ac:dyDescent="0.3">
      <c r="A90" s="70"/>
      <c r="B90" s="61" t="s">
        <v>55</v>
      </c>
      <c r="C90" s="66">
        <f>973807400-844963200-4300000</f>
        <v>124544200</v>
      </c>
      <c r="D90" s="242"/>
      <c r="E90" s="62">
        <f>+C90/C$198</f>
        <v>0.14265424155838147</v>
      </c>
      <c r="G90" s="66">
        <f>564218900+95000000-470350900-95000000-4300000</f>
        <v>89568000</v>
      </c>
      <c r="H90" s="62"/>
      <c r="I90" s="244">
        <f>+G90/G$198</f>
        <v>0.1584290393806749</v>
      </c>
      <c r="J90" s="62"/>
      <c r="K90" s="62"/>
    </row>
    <row r="91" spans="1:12" s="61" customFormat="1" ht="15.95" hidden="1" customHeight="1" x14ac:dyDescent="0.3">
      <c r="B91" s="61" t="s">
        <v>77</v>
      </c>
      <c r="C91" s="66">
        <f>37122000-528100</f>
        <v>36593900</v>
      </c>
      <c r="D91" s="243"/>
      <c r="E91" s="62">
        <f>+C91/C$198</f>
        <v>4.1915039400977766E-2</v>
      </c>
      <c r="G91" s="66">
        <v>22694500</v>
      </c>
      <c r="H91" s="62"/>
      <c r="I91" s="244">
        <f>+G91/G$198</f>
        <v>4.0142325766174602E-2</v>
      </c>
      <c r="J91" s="62"/>
      <c r="K91" s="62"/>
    </row>
    <row r="92" spans="1:12" s="61" customFormat="1" ht="15.95" hidden="1" customHeight="1" x14ac:dyDescent="0.3">
      <c r="B92" s="61" t="s">
        <v>66</v>
      </c>
      <c r="C92" s="69">
        <v>69202000</v>
      </c>
      <c r="D92" s="242"/>
      <c r="E92" s="62">
        <f>+C92/C$198</f>
        <v>7.9264701401776355E-2</v>
      </c>
      <c r="F92" s="65"/>
      <c r="G92" s="69">
        <v>14565200</v>
      </c>
      <c r="I92" s="244">
        <f>+G92/G$198</f>
        <v>2.5763114554164503E-2</v>
      </c>
      <c r="J92" s="65"/>
      <c r="K92" s="62">
        <v>0.15</v>
      </c>
    </row>
    <row r="93" spans="1:12" s="61" customFormat="1" ht="6" hidden="1" customHeight="1" x14ac:dyDescent="0.3">
      <c r="C93" s="69"/>
      <c r="D93" s="242"/>
      <c r="E93" s="62"/>
      <c r="F93" s="65"/>
      <c r="G93" s="69"/>
      <c r="I93" s="62"/>
      <c r="J93" s="65"/>
      <c r="K93" s="62"/>
    </row>
    <row r="94" spans="1:12" s="61" customFormat="1" ht="16.5" hidden="1" x14ac:dyDescent="0.3">
      <c r="A94" s="67" t="s">
        <v>78</v>
      </c>
      <c r="C94" s="66"/>
      <c r="E94" s="62"/>
      <c r="G94" s="66"/>
      <c r="I94" s="71"/>
      <c r="K94" s="62"/>
    </row>
    <row r="95" spans="1:12" s="61" customFormat="1" ht="15.95" hidden="1" customHeight="1" x14ac:dyDescent="0.3">
      <c r="A95" s="70"/>
      <c r="B95" s="61" t="s">
        <v>55</v>
      </c>
      <c r="C95" s="66">
        <v>62281300</v>
      </c>
      <c r="D95" s="242"/>
      <c r="E95" s="62">
        <f>+C95/C$199</f>
        <v>6.5071235739452601E-2</v>
      </c>
      <c r="G95" s="66">
        <v>52965700</v>
      </c>
      <c r="H95" s="62"/>
      <c r="I95" s="244">
        <f>+G95/G$199</f>
        <v>8.5044025938847786E-2</v>
      </c>
      <c r="J95" s="62"/>
      <c r="K95" s="62"/>
      <c r="L95" s="79"/>
    </row>
    <row r="96" spans="1:12" s="61" customFormat="1" ht="15.95" hidden="1" customHeight="1" x14ac:dyDescent="0.3">
      <c r="B96" s="61" t="s">
        <v>79</v>
      </c>
      <c r="C96" s="66">
        <v>38775500</v>
      </c>
      <c r="D96" s="243"/>
      <c r="E96" s="62">
        <f>+C96/C$199</f>
        <v>4.0512476480342327E-2</v>
      </c>
      <c r="G96" s="66">
        <v>32567500</v>
      </c>
      <c r="H96" s="62"/>
      <c r="I96" s="244">
        <f>+G96/G$199</f>
        <v>5.2291791003676438E-2</v>
      </c>
      <c r="J96" s="62"/>
      <c r="K96" s="62"/>
      <c r="L96" s="79"/>
    </row>
    <row r="97" spans="1:16" s="61" customFormat="1" ht="15.75" hidden="1" customHeight="1" x14ac:dyDescent="0.3">
      <c r="B97" s="61" t="s">
        <v>66</v>
      </c>
      <c r="C97" s="69">
        <v>51117200</v>
      </c>
      <c r="D97" s="242"/>
      <c r="E97" s="62">
        <f>+C97/C$199</f>
        <v>5.3407031830433001E-2</v>
      </c>
      <c r="F97" s="65"/>
      <c r="G97" s="69">
        <v>41801600</v>
      </c>
      <c r="I97" s="244">
        <f>+G97/G$199</f>
        <v>6.7118462602879597E-2</v>
      </c>
      <c r="J97" s="65"/>
      <c r="K97" s="62">
        <v>0.1490604974229017</v>
      </c>
      <c r="L97" s="79"/>
    </row>
    <row r="98" spans="1:16" s="61" customFormat="1" ht="6" hidden="1" customHeight="1" x14ac:dyDescent="0.3">
      <c r="C98" s="69"/>
      <c r="D98" s="242"/>
      <c r="E98" s="62"/>
      <c r="F98" s="65"/>
      <c r="G98" s="69"/>
      <c r="I98" s="62"/>
      <c r="J98" s="65"/>
      <c r="K98" s="208"/>
    </row>
    <row r="99" spans="1:16" s="61" customFormat="1" ht="16.5" hidden="1" x14ac:dyDescent="0.3">
      <c r="A99" s="67" t="s">
        <v>80</v>
      </c>
      <c r="C99" s="66"/>
      <c r="E99" s="62"/>
      <c r="G99" s="66"/>
      <c r="I99" s="71"/>
      <c r="K99" s="208"/>
    </row>
    <row r="100" spans="1:16" s="61" customFormat="1" ht="15.95" hidden="1" customHeight="1" x14ac:dyDescent="0.3">
      <c r="A100" s="70"/>
      <c r="B100" s="61" t="s">
        <v>55</v>
      </c>
      <c r="C100" s="66">
        <f>1021260300-972222900+31403300</f>
        <v>80440700</v>
      </c>
      <c r="D100" s="242"/>
      <c r="E100" s="62">
        <f>+C100/C$200</f>
        <v>8.273894803341908E-2</v>
      </c>
      <c r="G100" s="66">
        <v>69149700</v>
      </c>
      <c r="H100" s="62"/>
      <c r="I100" s="244">
        <f>+G100/G$200</f>
        <v>0.11102975851284025</v>
      </c>
      <c r="J100" s="62"/>
      <c r="K100" s="208"/>
      <c r="L100" s="79"/>
      <c r="N100" s="66"/>
    </row>
    <row r="101" spans="1:16" s="61" customFormat="1" ht="15.95" hidden="1" customHeight="1" x14ac:dyDescent="0.3">
      <c r="B101" s="61" t="s">
        <v>79</v>
      </c>
      <c r="C101" s="66">
        <f>1045029900-971606200</f>
        <v>73423700</v>
      </c>
      <c r="D101" s="243"/>
      <c r="E101" s="62">
        <f>+C101/C$200</f>
        <v>7.5521467350748481E-2</v>
      </c>
      <c r="G101" s="66">
        <v>52354300</v>
      </c>
      <c r="H101" s="62"/>
      <c r="I101" s="244">
        <f>+G101/G$200</f>
        <v>8.4062335572081912E-2</v>
      </c>
      <c r="J101" s="62"/>
      <c r="K101" s="208"/>
      <c r="L101" s="79"/>
    </row>
    <row r="102" spans="1:16" s="61" customFormat="1" ht="15.95" hidden="1" customHeight="1" x14ac:dyDescent="0.3">
      <c r="B102" s="61" t="s">
        <v>66</v>
      </c>
      <c r="C102" s="69">
        <f>1014407400-972222900</f>
        <v>42184500</v>
      </c>
      <c r="D102" s="242"/>
      <c r="E102" s="62">
        <f>+C102/C$200</f>
        <v>4.3389741179723294E-2</v>
      </c>
      <c r="F102" s="65"/>
      <c r="G102" s="69">
        <v>31439300</v>
      </c>
      <c r="I102" s="244">
        <f>+G102/G$200</f>
        <v>5.0480304134547779E-2</v>
      </c>
      <c r="J102" s="65"/>
      <c r="K102" s="62">
        <v>0.13900000000000001</v>
      </c>
      <c r="L102" s="79"/>
    </row>
    <row r="103" spans="1:16" s="61" customFormat="1" ht="6" hidden="1" customHeight="1" x14ac:dyDescent="0.3">
      <c r="C103" s="69"/>
      <c r="D103" s="242"/>
      <c r="E103" s="62"/>
      <c r="F103" s="65"/>
      <c r="G103" s="69"/>
      <c r="I103" s="62"/>
      <c r="J103" s="65"/>
      <c r="K103" s="208"/>
    </row>
    <row r="104" spans="1:16" s="61" customFormat="1" ht="16.5" hidden="1" x14ac:dyDescent="0.3">
      <c r="A104" s="67" t="s">
        <v>81</v>
      </c>
      <c r="C104" s="66"/>
      <c r="E104" s="62"/>
      <c r="G104" s="66"/>
      <c r="I104" s="71"/>
      <c r="K104" s="208"/>
    </row>
    <row r="105" spans="1:16" s="61" customFormat="1" ht="15.95" hidden="1" customHeight="1" x14ac:dyDescent="0.3">
      <c r="A105" s="70"/>
      <c r="B105" s="61" t="s">
        <v>55</v>
      </c>
      <c r="C105" s="66">
        <v>88674800</v>
      </c>
      <c r="D105" s="242"/>
      <c r="E105" s="62">
        <f>+C105/C$201</f>
        <v>8.688846866163237E-2</v>
      </c>
      <c r="G105" s="66">
        <v>77471200</v>
      </c>
      <c r="H105" s="62"/>
      <c r="I105" s="244">
        <f>+G105/G$201</f>
        <v>0.11908650216064792</v>
      </c>
      <c r="J105" s="62"/>
      <c r="K105" s="208"/>
      <c r="L105" s="79"/>
      <c r="N105" s="155"/>
    </row>
    <row r="106" spans="1:16" s="61" customFormat="1" ht="15.95" hidden="1" customHeight="1" x14ac:dyDescent="0.3">
      <c r="B106" s="61" t="s">
        <v>79</v>
      </c>
      <c r="C106" s="66">
        <v>80668700</v>
      </c>
      <c r="D106" s="243"/>
      <c r="E106" s="62">
        <f>+C106/C$201</f>
        <v>7.9043649514006498E-2</v>
      </c>
      <c r="G106" s="66">
        <v>61454600</v>
      </c>
      <c r="H106" s="62"/>
      <c r="I106" s="244">
        <f>+G106/G$201</f>
        <v>9.4466244948855235E-2</v>
      </c>
      <c r="J106" s="62"/>
      <c r="K106" s="208"/>
      <c r="L106" s="79"/>
    </row>
    <row r="107" spans="1:16" s="61" customFormat="1" ht="15.95" hidden="1" customHeight="1" x14ac:dyDescent="0.3">
      <c r="B107" s="61" t="s">
        <v>66</v>
      </c>
      <c r="C107" s="69">
        <v>93324200</v>
      </c>
      <c r="D107" s="242"/>
      <c r="E107" s="62">
        <f>+C107/C$201</f>
        <v>9.1444207678753275E-2</v>
      </c>
      <c r="F107" s="65"/>
      <c r="G107" s="69">
        <v>82120600</v>
      </c>
      <c r="I107" s="244">
        <f>+G107/G$201</f>
        <v>0.1262334262194687</v>
      </c>
      <c r="J107" s="65"/>
      <c r="K107" s="62">
        <v>0.129</v>
      </c>
      <c r="L107" s="79"/>
      <c r="N107" s="155"/>
      <c r="P107" s="245"/>
    </row>
    <row r="108" spans="1:16" s="61" customFormat="1" ht="6" hidden="1" customHeight="1" x14ac:dyDescent="0.3">
      <c r="C108" s="226"/>
      <c r="D108" s="242"/>
      <c r="E108" s="62"/>
      <c r="F108" s="65"/>
      <c r="G108" s="226"/>
      <c r="I108" s="62"/>
      <c r="J108" s="65"/>
      <c r="K108" s="208"/>
    </row>
    <row r="109" spans="1:16" s="61" customFormat="1" ht="16.5" hidden="1" x14ac:dyDescent="0.3">
      <c r="A109" s="67" t="s">
        <v>82</v>
      </c>
      <c r="C109" s="210"/>
      <c r="E109" s="62"/>
      <c r="G109" s="210"/>
      <c r="I109" s="71"/>
      <c r="K109" s="208"/>
    </row>
    <row r="110" spans="1:16" s="61" customFormat="1" ht="15.95" hidden="1" customHeight="1" x14ac:dyDescent="0.3">
      <c r="A110" s="70"/>
      <c r="B110" s="61" t="s">
        <v>55</v>
      </c>
      <c r="C110" s="66">
        <f>+G110+7852500</f>
        <v>102285200</v>
      </c>
      <c r="D110" s="242"/>
      <c r="E110" s="62">
        <f>+C110/C$202</f>
        <v>9.1168593962607083E-2</v>
      </c>
      <c r="G110" s="66">
        <v>94432700</v>
      </c>
      <c r="H110" s="62"/>
      <c r="I110" s="244">
        <f>+G110/G$202</f>
        <v>0.12893223189061156</v>
      </c>
      <c r="J110" s="62"/>
      <c r="K110" s="208"/>
      <c r="L110" s="79"/>
      <c r="P110" s="155"/>
    </row>
    <row r="111" spans="1:16" s="61" customFormat="1" ht="15.95" hidden="1" customHeight="1" x14ac:dyDescent="0.3">
      <c r="B111" s="61" t="s">
        <v>79</v>
      </c>
      <c r="C111" s="66">
        <f>+G111+12515900</f>
        <v>74278800</v>
      </c>
      <c r="D111" s="243"/>
      <c r="E111" s="62">
        <f>+C111/C$202</f>
        <v>6.6205998103632785E-2</v>
      </c>
      <c r="G111" s="66">
        <v>61762900</v>
      </c>
      <c r="H111" s="62"/>
      <c r="I111" s="244">
        <f>+G111/G$202</f>
        <v>8.4327023849118513E-2</v>
      </c>
      <c r="J111" s="62"/>
      <c r="K111" s="208"/>
      <c r="L111" s="79"/>
    </row>
    <row r="112" spans="1:16" s="61" customFormat="1" ht="15.95" hidden="1" customHeight="1" x14ac:dyDescent="0.3">
      <c r="B112" s="61" t="s">
        <v>66</v>
      </c>
      <c r="C112" s="66">
        <f>+G112+7852500</f>
        <v>42674900</v>
      </c>
      <c r="D112" s="242"/>
      <c r="E112" s="62">
        <f>+C112/C$202</f>
        <v>3.8036887355109648E-2</v>
      </c>
      <c r="F112" s="65"/>
      <c r="G112" s="69">
        <v>34822400</v>
      </c>
      <c r="I112" s="244">
        <f>+G112/G$202</f>
        <v>4.7544227283426534E-2</v>
      </c>
      <c r="J112" s="65"/>
      <c r="K112" s="62">
        <v>0.14199999999999999</v>
      </c>
      <c r="L112" s="79"/>
    </row>
    <row r="113" spans="1:12" s="61" customFormat="1" ht="6" customHeight="1" x14ac:dyDescent="0.3">
      <c r="C113" s="226"/>
      <c r="D113" s="242"/>
      <c r="E113" s="62"/>
      <c r="F113" s="65"/>
      <c r="G113" s="226"/>
      <c r="I113" s="244"/>
      <c r="J113" s="65"/>
      <c r="K113" s="62"/>
    </row>
    <row r="114" spans="1:12" s="61" customFormat="1" ht="16.5" hidden="1" x14ac:dyDescent="0.3">
      <c r="A114" s="67" t="s">
        <v>93</v>
      </c>
      <c r="C114" s="210"/>
      <c r="E114" s="62"/>
      <c r="G114" s="210"/>
      <c r="I114" s="71"/>
      <c r="K114" s="62"/>
    </row>
    <row r="115" spans="1:12" s="61" customFormat="1" ht="15.95" hidden="1" customHeight="1" x14ac:dyDescent="0.3">
      <c r="A115" s="70"/>
      <c r="B115" s="61" t="s">
        <v>55</v>
      </c>
      <c r="C115" s="66">
        <f>+G115+(5195100*0.25/0.75)</f>
        <v>39220300</v>
      </c>
      <c r="D115" s="242"/>
      <c r="E115" s="62">
        <f>+C115/C$203</f>
        <v>3.5436501851019465E-2</v>
      </c>
      <c r="G115" s="66">
        <v>37488600</v>
      </c>
      <c r="H115" s="62"/>
      <c r="I115" s="244">
        <f>+G115/G$203</f>
        <v>5.4904764722320025E-2</v>
      </c>
      <c r="J115" s="62"/>
      <c r="K115" s="62"/>
      <c r="L115" s="209"/>
    </row>
    <row r="116" spans="1:12" s="61" customFormat="1" ht="15.95" hidden="1" customHeight="1" x14ac:dyDescent="0.3">
      <c r="B116" s="61" t="s">
        <v>79</v>
      </c>
      <c r="C116" s="66">
        <f>+G116</f>
        <v>-75792000</v>
      </c>
      <c r="D116" s="243"/>
      <c r="E116" s="62">
        <f>+C116/C$203</f>
        <v>-6.8479928717844266E-2</v>
      </c>
      <c r="G116" s="66">
        <v>-75792000</v>
      </c>
      <c r="H116" s="62"/>
      <c r="I116" s="244">
        <f>+G116/G$203</f>
        <v>-0.111002862945911</v>
      </c>
      <c r="J116" s="62"/>
      <c r="K116" s="62"/>
    </row>
    <row r="117" spans="1:12" s="61" customFormat="1" ht="15.95" hidden="1" customHeight="1" x14ac:dyDescent="0.3">
      <c r="B117" s="61" t="s">
        <v>66</v>
      </c>
      <c r="C117" s="66">
        <f>+G117</f>
        <v>-126348200</v>
      </c>
      <c r="D117" s="242"/>
      <c r="E117" s="62">
        <f>+C117/C$203</f>
        <v>-0.11415869392057118</v>
      </c>
      <c r="F117" s="65"/>
      <c r="G117" s="69">
        <v>-126348200</v>
      </c>
      <c r="I117" s="244">
        <f>+G117/G$203</f>
        <v>-0.18504607251507485</v>
      </c>
      <c r="J117" s="65"/>
      <c r="K117" s="62">
        <v>0.14199999999999999</v>
      </c>
    </row>
    <row r="118" spans="1:12" s="61" customFormat="1" ht="6" hidden="1" customHeight="1" x14ac:dyDescent="0.3">
      <c r="C118" s="210"/>
      <c r="D118" s="242"/>
      <c r="E118" s="62"/>
      <c r="F118" s="65"/>
      <c r="G118" s="226"/>
      <c r="I118" s="244"/>
      <c r="J118" s="65"/>
      <c r="K118" s="208"/>
    </row>
    <row r="119" spans="1:12" s="61" customFormat="1" ht="15.95" hidden="1" customHeight="1" x14ac:dyDescent="0.3">
      <c r="A119" s="67" t="s">
        <v>94</v>
      </c>
      <c r="C119" s="210"/>
      <c r="E119" s="62"/>
      <c r="G119" s="210"/>
      <c r="I119" s="71"/>
      <c r="J119" s="65"/>
      <c r="K119" s="208"/>
    </row>
    <row r="120" spans="1:12" s="61" customFormat="1" ht="15.95" hidden="1" customHeight="1" x14ac:dyDescent="0.3">
      <c r="A120" s="70"/>
      <c r="B120" s="61" t="s">
        <v>55</v>
      </c>
      <c r="C120" s="66">
        <f>+G120</f>
        <v>61478900</v>
      </c>
      <c r="D120" s="242"/>
      <c r="E120" s="62">
        <f>+C120/C$204</f>
        <v>5.5899361164706035E-2</v>
      </c>
      <c r="G120" s="66">
        <v>61478900</v>
      </c>
      <c r="H120" s="62"/>
      <c r="I120" s="244">
        <f>+G120/G$204</f>
        <v>9.5969250577261939E-2</v>
      </c>
      <c r="J120" s="65"/>
      <c r="K120" s="208"/>
    </row>
    <row r="121" spans="1:12" s="61" customFormat="1" ht="15.95" hidden="1" customHeight="1" x14ac:dyDescent="0.3">
      <c r="B121" s="61" t="s">
        <v>95</v>
      </c>
      <c r="C121" s="66">
        <f>+G121</f>
        <v>3953900</v>
      </c>
      <c r="D121" s="243"/>
      <c r="E121" s="62">
        <f>+C121/C$204</f>
        <v>3.5950624378303969E-3</v>
      </c>
      <c r="G121" s="66">
        <v>3953900</v>
      </c>
      <c r="H121" s="62"/>
      <c r="I121" s="244">
        <f>+G121/G$204</f>
        <v>6.1720821266716868E-3</v>
      </c>
      <c r="J121" s="65"/>
      <c r="K121" s="208"/>
    </row>
    <row r="122" spans="1:12" s="61" customFormat="1" ht="15.95" hidden="1" customHeight="1" x14ac:dyDescent="0.3">
      <c r="B122" s="61" t="s">
        <v>66</v>
      </c>
      <c r="C122" s="66">
        <f>+G122</f>
        <v>33393200</v>
      </c>
      <c r="D122" s="242"/>
      <c r="E122" s="62">
        <f>+C122/C$204</f>
        <v>3.0362588583160426E-2</v>
      </c>
      <c r="F122" s="65"/>
      <c r="G122" s="69">
        <v>33393200</v>
      </c>
      <c r="I122" s="244">
        <f>+G122/G$204</f>
        <v>5.212715872236854E-2</v>
      </c>
      <c r="J122" s="65"/>
      <c r="K122" s="62">
        <v>0.13500000000000001</v>
      </c>
      <c r="L122" s="197"/>
    </row>
    <row r="123" spans="1:12" s="61" customFormat="1" ht="6" hidden="1" customHeight="1" x14ac:dyDescent="0.3">
      <c r="C123" s="210"/>
      <c r="D123" s="242"/>
      <c r="E123" s="62"/>
      <c r="F123" s="65"/>
      <c r="G123" s="226"/>
      <c r="I123" s="244"/>
      <c r="J123" s="65"/>
      <c r="K123" s="208"/>
      <c r="L123" s="197"/>
    </row>
    <row r="124" spans="1:12" s="61" customFormat="1" ht="15.95" hidden="1" customHeight="1" x14ac:dyDescent="0.3">
      <c r="A124" s="67" t="s">
        <v>99</v>
      </c>
      <c r="C124" s="210"/>
      <c r="E124" s="62"/>
      <c r="G124" s="210"/>
      <c r="I124" s="71"/>
      <c r="K124" s="208"/>
      <c r="L124" s="68"/>
    </row>
    <row r="125" spans="1:12" s="61" customFormat="1" ht="16.5" hidden="1" customHeight="1" x14ac:dyDescent="0.3">
      <c r="A125" s="70"/>
      <c r="B125" s="61" t="s">
        <v>55</v>
      </c>
      <c r="C125" s="66">
        <f>+G125</f>
        <v>39950100</v>
      </c>
      <c r="D125" s="242"/>
      <c r="E125" s="62">
        <f>+C125/C$205</f>
        <v>3.3614813569513201E-2</v>
      </c>
      <c r="G125" s="66">
        <v>39950100</v>
      </c>
      <c r="H125" s="62"/>
      <c r="I125" s="244">
        <f>+G125/G$205</f>
        <v>5.9272828809816443E-2</v>
      </c>
      <c r="J125" s="62"/>
      <c r="K125" s="208"/>
      <c r="L125" s="68"/>
    </row>
    <row r="126" spans="1:12" s="61" customFormat="1" ht="15.95" hidden="1" customHeight="1" x14ac:dyDescent="0.3">
      <c r="B126" s="61" t="s">
        <v>260</v>
      </c>
      <c r="C126" s="66">
        <f>+G126</f>
        <v>-289100</v>
      </c>
      <c r="D126" s="243"/>
      <c r="E126" s="62">
        <f>+C126/C$205</f>
        <v>-2.4325452509371104E-4</v>
      </c>
      <c r="G126" s="66">
        <v>-289100</v>
      </c>
      <c r="H126" s="62"/>
      <c r="I126" s="244">
        <f>+G126/G$205</f>
        <v>-4.2892945972395399E-4</v>
      </c>
      <c r="J126" s="62"/>
      <c r="K126" s="208"/>
      <c r="L126" s="68"/>
    </row>
    <row r="127" spans="1:12" s="61" customFormat="1" ht="15.95" hidden="1" customHeight="1" x14ac:dyDescent="0.3">
      <c r="B127" s="61" t="s">
        <v>66</v>
      </c>
      <c r="C127" s="66">
        <f>+G127</f>
        <v>-12713600</v>
      </c>
      <c r="D127" s="242"/>
      <c r="E127" s="62">
        <f>+C127/C$205</f>
        <v>-1.0697477448050519E-2</v>
      </c>
      <c r="F127" s="65"/>
      <c r="G127" s="69">
        <v>-12713600</v>
      </c>
      <c r="I127" s="244">
        <f>+G127/G$205</f>
        <v>-1.8862807260970119E-2</v>
      </c>
      <c r="J127" s="65"/>
      <c r="K127" s="62">
        <v>0.128</v>
      </c>
      <c r="L127" s="197"/>
    </row>
    <row r="128" spans="1:12" s="61" customFormat="1" ht="6" hidden="1" customHeight="1" x14ac:dyDescent="0.3">
      <c r="C128" s="210"/>
      <c r="D128" s="242"/>
      <c r="E128" s="62"/>
      <c r="F128" s="65"/>
      <c r="G128" s="226"/>
      <c r="I128" s="244"/>
      <c r="J128" s="65"/>
      <c r="K128" s="208"/>
      <c r="L128" s="68"/>
    </row>
    <row r="129" spans="1:13" s="61" customFormat="1" ht="15.95" hidden="1" customHeight="1" x14ac:dyDescent="0.3">
      <c r="A129" s="67" t="s">
        <v>101</v>
      </c>
      <c r="C129" s="210"/>
      <c r="E129" s="62"/>
      <c r="G129" s="210"/>
      <c r="I129" s="71"/>
      <c r="K129" s="208"/>
      <c r="L129" s="68"/>
    </row>
    <row r="130" spans="1:13" s="61" customFormat="1" ht="15.95" hidden="1" customHeight="1" x14ac:dyDescent="0.3">
      <c r="A130" s="70"/>
      <c r="B130" s="61" t="s">
        <v>55</v>
      </c>
      <c r="C130" s="66">
        <f>+G130+2079700-6500+536800+(5000000*0.25/0.75)</f>
        <v>66216566.666666664</v>
      </c>
      <c r="D130" s="242"/>
      <c r="E130" s="62">
        <f>+C130/C$206</f>
        <v>5.257328419887377E-2</v>
      </c>
      <c r="G130" s="66">
        <v>61939900</v>
      </c>
      <c r="H130" s="62"/>
      <c r="I130" s="244">
        <f>+G130/G$206</f>
        <v>9.3665260324517233E-2</v>
      </c>
      <c r="J130" s="62"/>
      <c r="K130" s="208"/>
      <c r="L130" s="68"/>
      <c r="M130" s="246"/>
    </row>
    <row r="131" spans="1:13" s="61" customFormat="1" ht="15.95" hidden="1" customHeight="1" x14ac:dyDescent="0.3">
      <c r="B131" s="61" t="s">
        <v>260</v>
      </c>
      <c r="C131" s="66">
        <f>+G131</f>
        <v>16064700</v>
      </c>
      <c r="D131" s="243"/>
      <c r="E131" s="62">
        <f>+C131/C$206</f>
        <v>1.2754724099804543E-2</v>
      </c>
      <c r="G131" s="66">
        <v>16064700</v>
      </c>
      <c r="H131" s="62"/>
      <c r="I131" s="244">
        <f>+G131/G$206</f>
        <v>2.4292972825840402E-2</v>
      </c>
      <c r="J131" s="62"/>
      <c r="K131" s="208"/>
      <c r="L131" s="68"/>
    </row>
    <row r="132" spans="1:13" s="61" customFormat="1" ht="15.95" hidden="1" customHeight="1" x14ac:dyDescent="0.3">
      <c r="B132" s="61" t="s">
        <v>66</v>
      </c>
      <c r="C132" s="66">
        <f>+G132+2079700-6500+536800</f>
        <v>23958600</v>
      </c>
      <c r="D132" s="242"/>
      <c r="E132" s="62">
        <f>+C132/C$206</f>
        <v>1.9022162431765119E-2</v>
      </c>
      <c r="F132" s="65"/>
      <c r="G132" s="69">
        <v>21348600</v>
      </c>
      <c r="I132" s="244">
        <f>+G132/G$206</f>
        <v>3.2283264528421722E-2</v>
      </c>
      <c r="J132" s="65"/>
      <c r="K132" s="62">
        <v>0.123</v>
      </c>
      <c r="L132" s="68"/>
    </row>
    <row r="133" spans="1:13" s="61" customFormat="1" ht="6" hidden="1" customHeight="1" x14ac:dyDescent="0.3">
      <c r="C133" s="210"/>
      <c r="D133" s="242"/>
      <c r="E133" s="62"/>
      <c r="F133" s="65"/>
      <c r="G133" s="226"/>
      <c r="I133" s="244"/>
      <c r="J133" s="65"/>
      <c r="K133" s="208"/>
      <c r="L133" s="68"/>
    </row>
    <row r="134" spans="1:13" s="61" customFormat="1" ht="15.95" hidden="1" customHeight="1" x14ac:dyDescent="0.3">
      <c r="A134" s="67" t="s">
        <v>104</v>
      </c>
      <c r="C134" s="210"/>
      <c r="E134" s="62"/>
      <c r="G134" s="210"/>
      <c r="I134" s="71"/>
      <c r="J134" s="65"/>
      <c r="K134" s="208"/>
      <c r="L134" s="68"/>
    </row>
    <row r="135" spans="1:13" s="61" customFormat="1" ht="15.95" hidden="1" customHeight="1" x14ac:dyDescent="0.3">
      <c r="A135" s="70"/>
      <c r="B135" s="61" t="s">
        <v>55</v>
      </c>
      <c r="C135" s="66">
        <f>+G135+109600+2165600</f>
        <v>72956500</v>
      </c>
      <c r="D135" s="242"/>
      <c r="E135" s="62">
        <f>+C135/C$207</f>
        <v>5.6243440937737851E-2</v>
      </c>
      <c r="G135" s="66">
        <v>70681300</v>
      </c>
      <c r="H135" s="62"/>
      <c r="I135" s="244">
        <f>+G135/G$207</f>
        <v>0.10354131747018115</v>
      </c>
      <c r="J135" s="65"/>
      <c r="K135" s="208"/>
      <c r="L135" s="197"/>
      <c r="M135" s="79"/>
    </row>
    <row r="136" spans="1:13" s="61" customFormat="1" ht="15.95" hidden="1" customHeight="1" x14ac:dyDescent="0.3">
      <c r="B136" s="61" t="s">
        <v>260</v>
      </c>
      <c r="C136" s="66">
        <f>+G136+109600+2165600</f>
        <v>47160500</v>
      </c>
      <c r="D136" s="243"/>
      <c r="E136" s="62">
        <f>+C136/C$207</f>
        <v>3.6356853691503647E-2</v>
      </c>
      <c r="G136" s="66">
        <v>44885300</v>
      </c>
      <c r="H136" s="62"/>
      <c r="I136" s="244">
        <f>+G136/G$207</f>
        <v>6.5752654479251535E-2</v>
      </c>
      <c r="J136" s="65"/>
      <c r="K136" s="208"/>
      <c r="L136" s="68"/>
      <c r="M136" s="79"/>
    </row>
    <row r="137" spans="1:13" s="61" customFormat="1" ht="15.95" hidden="1" customHeight="1" x14ac:dyDescent="0.3">
      <c r="B137" s="61" t="s">
        <v>66</v>
      </c>
      <c r="C137" s="66">
        <f>+G137+2328000+584800</f>
        <v>43925100</v>
      </c>
      <c r="D137" s="242"/>
      <c r="E137" s="62">
        <f>+C137/C$207</f>
        <v>3.3862627285221041E-2</v>
      </c>
      <c r="F137" s="65"/>
      <c r="G137" s="69">
        <v>41012300</v>
      </c>
      <c r="I137" s="244">
        <f>+G137/G$207</f>
        <v>6.0079081376294863E-2</v>
      </c>
      <c r="J137" s="65"/>
      <c r="K137" s="62">
        <v>0.124</v>
      </c>
      <c r="L137" s="68"/>
      <c r="M137" s="79"/>
    </row>
    <row r="138" spans="1:13" s="61" customFormat="1" ht="6" hidden="1" customHeight="1" x14ac:dyDescent="0.3">
      <c r="C138" s="210"/>
      <c r="D138" s="242"/>
      <c r="E138" s="62"/>
      <c r="F138" s="65"/>
      <c r="G138" s="226"/>
      <c r="I138" s="244"/>
      <c r="J138" s="65"/>
      <c r="K138" s="208"/>
    </row>
    <row r="139" spans="1:13" s="61" customFormat="1" ht="15.95" customHeight="1" x14ac:dyDescent="0.3">
      <c r="A139" s="67" t="s">
        <v>105</v>
      </c>
      <c r="C139" s="210"/>
      <c r="E139" s="62"/>
      <c r="G139" s="210"/>
      <c r="I139" s="71"/>
      <c r="J139" s="65"/>
      <c r="K139" s="208"/>
      <c r="L139" s="68"/>
    </row>
    <row r="140" spans="1:13" s="61" customFormat="1" ht="15.95" customHeight="1" x14ac:dyDescent="0.3">
      <c r="A140" s="70"/>
      <c r="B140" s="61" t="s">
        <v>55</v>
      </c>
      <c r="C140" s="66">
        <f>+G140+9871100</f>
        <v>150955000</v>
      </c>
      <c r="D140" s="242"/>
      <c r="E140" s="62">
        <f>+C140/C$208</f>
        <v>0.10858105766027835</v>
      </c>
      <c r="G140" s="66">
        <v>141083900</v>
      </c>
      <c r="H140" s="62"/>
      <c r="I140" s="244">
        <f>+G140/G$208</f>
        <v>0.1948137183288019</v>
      </c>
      <c r="J140" s="65"/>
      <c r="K140" s="208"/>
      <c r="L140" s="68"/>
    </row>
    <row r="141" spans="1:13" s="61" customFormat="1" ht="15.95" customHeight="1" x14ac:dyDescent="0.3">
      <c r="B141" s="61" t="s">
        <v>260</v>
      </c>
      <c r="C141" s="66">
        <f>+G141+475400+2979900+566800</f>
        <v>43098000</v>
      </c>
      <c r="D141" s="243"/>
      <c r="E141" s="62">
        <f>+C141/C$208</f>
        <v>3.1000141916747881E-2</v>
      </c>
      <c r="G141" s="66">
        <v>39075900</v>
      </c>
      <c r="H141" s="62"/>
      <c r="I141" s="244">
        <f>+G141/G$208</f>
        <v>5.395740673488917E-2</v>
      </c>
      <c r="J141" s="65"/>
      <c r="K141" s="208"/>
      <c r="L141" s="68"/>
    </row>
    <row r="142" spans="1:13" s="61" customFormat="1" ht="15.95" customHeight="1" x14ac:dyDescent="0.3">
      <c r="B142" s="61" t="s">
        <v>66</v>
      </c>
      <c r="C142" s="66">
        <f>+G142+2792600</f>
        <v>84332400</v>
      </c>
      <c r="D142" s="242"/>
      <c r="E142" s="62">
        <f>+C142/C$208</f>
        <v>6.0659807141397487E-2</v>
      </c>
      <c r="F142" s="65"/>
      <c r="G142" s="69">
        <v>81539800</v>
      </c>
      <c r="I142" s="244">
        <f>+G142/G$208</f>
        <v>0.11259308560216183</v>
      </c>
      <c r="J142" s="65"/>
      <c r="K142" s="62">
        <f>0.5%+12.3%</f>
        <v>0.128</v>
      </c>
      <c r="L142" s="68"/>
    </row>
    <row r="143" spans="1:13" s="61" customFormat="1" ht="6" customHeight="1" x14ac:dyDescent="0.3">
      <c r="C143" s="210"/>
      <c r="D143" s="242"/>
      <c r="E143" s="62"/>
      <c r="F143" s="65"/>
      <c r="G143" s="226"/>
      <c r="I143" s="244"/>
      <c r="J143" s="65"/>
      <c r="K143" s="208"/>
      <c r="L143" s="68"/>
    </row>
    <row r="144" spans="1:13" s="61" customFormat="1" ht="15.95" customHeight="1" x14ac:dyDescent="0.3">
      <c r="A144" s="67" t="s">
        <v>120</v>
      </c>
      <c r="B144" s="209"/>
      <c r="C144" s="210"/>
      <c r="D144" s="209"/>
      <c r="E144" s="208"/>
      <c r="F144" s="209"/>
      <c r="G144" s="210"/>
      <c r="H144" s="209"/>
      <c r="I144" s="211"/>
      <c r="J144" s="212"/>
      <c r="K144" s="208"/>
      <c r="L144" s="68"/>
    </row>
    <row r="145" spans="1:13" s="61" customFormat="1" ht="15.95" customHeight="1" x14ac:dyDescent="0.3">
      <c r="A145" s="70"/>
      <c r="B145" s="61" t="s">
        <v>55</v>
      </c>
      <c r="C145" s="66">
        <f>+G145+8946300</f>
        <v>87342400</v>
      </c>
      <c r="D145" s="247"/>
      <c r="E145" s="62">
        <f>+C145/C$209</f>
        <v>5.8103263305990159E-2</v>
      </c>
      <c r="F145" s="209"/>
      <c r="G145" s="66">
        <v>78396100</v>
      </c>
      <c r="H145" s="62"/>
      <c r="I145" s="244">
        <f>+G145/G$209</f>
        <v>9.7297163795512884E-2</v>
      </c>
      <c r="J145" s="212"/>
      <c r="K145" s="208"/>
      <c r="L145" s="68"/>
    </row>
    <row r="146" spans="1:13" s="61" customFormat="1" ht="15.95" customHeight="1" x14ac:dyDescent="0.3">
      <c r="B146" s="61" t="s">
        <v>260</v>
      </c>
      <c r="C146" s="66">
        <f>+G146+8751900</f>
        <v>55875400</v>
      </c>
      <c r="D146" s="243"/>
      <c r="E146" s="62">
        <f>+C146/C$209</f>
        <v>3.7170298486502808E-2</v>
      </c>
      <c r="F146" s="209"/>
      <c r="G146" s="66">
        <v>47123500</v>
      </c>
      <c r="H146" s="62"/>
      <c r="I146" s="244">
        <f>+G146/G$209</f>
        <v>5.8484834042992595E-2</v>
      </c>
      <c r="J146" s="212"/>
      <c r="K146" s="208"/>
      <c r="L146" s="68"/>
    </row>
    <row r="147" spans="1:13" s="61" customFormat="1" ht="15.95" customHeight="1" x14ac:dyDescent="0.3">
      <c r="B147" s="61" t="s">
        <v>66</v>
      </c>
      <c r="C147" s="66">
        <f>+G147+6270500</f>
        <v>45970700</v>
      </c>
      <c r="D147" s="242"/>
      <c r="E147" s="62">
        <f>+C147/C$209</f>
        <v>3.0581340637086705E-2</v>
      </c>
      <c r="F147" s="65"/>
      <c r="G147" s="69">
        <v>39700200</v>
      </c>
      <c r="H147" s="209"/>
      <c r="I147" s="244">
        <f>+G147/G$209</f>
        <v>4.9271798751655001E-2</v>
      </c>
      <c r="J147" s="212"/>
      <c r="K147" s="62">
        <v>0.124</v>
      </c>
      <c r="L147" s="68"/>
      <c r="M147" s="209"/>
    </row>
    <row r="148" spans="1:13" s="61" customFormat="1" ht="6" customHeight="1" x14ac:dyDescent="0.3">
      <c r="C148" s="210"/>
      <c r="D148" s="242"/>
      <c r="E148" s="62"/>
      <c r="F148" s="65"/>
      <c r="G148" s="226"/>
      <c r="I148" s="244"/>
      <c r="J148" s="65"/>
      <c r="K148" s="208"/>
      <c r="L148" s="68"/>
    </row>
    <row r="149" spans="1:13" s="61" customFormat="1" ht="15.95" customHeight="1" x14ac:dyDescent="0.3">
      <c r="A149" s="67" t="s">
        <v>123</v>
      </c>
      <c r="B149" s="209"/>
      <c r="C149" s="210"/>
      <c r="D149" s="209"/>
      <c r="E149" s="208"/>
      <c r="F149" s="209"/>
      <c r="G149" s="210"/>
      <c r="H149" s="209"/>
      <c r="I149" s="211"/>
      <c r="J149" s="212"/>
      <c r="K149" s="208"/>
      <c r="L149" s="68"/>
    </row>
    <row r="150" spans="1:13" s="61" customFormat="1" ht="15.95" customHeight="1" x14ac:dyDescent="0.3">
      <c r="A150" s="70"/>
      <c r="B150" s="61" t="s">
        <v>55</v>
      </c>
      <c r="C150" s="66">
        <f>+G150+ROUND(10058572,-2)</f>
        <v>86266100</v>
      </c>
      <c r="D150" s="242"/>
      <c r="E150" s="62">
        <f>+C150/C$210</f>
        <v>5.4645869004883323E-2</v>
      </c>
      <c r="G150" s="66">
        <v>76207500</v>
      </c>
      <c r="H150" s="62"/>
      <c r="I150" s="244">
        <f>+G150/G$210</f>
        <v>9.0139560630630944E-2</v>
      </c>
      <c r="J150" s="212"/>
      <c r="K150" s="208"/>
      <c r="L150" s="68"/>
    </row>
    <row r="151" spans="1:13" s="61" customFormat="1" ht="15.95" customHeight="1" x14ac:dyDescent="0.3">
      <c r="B151" s="61" t="s">
        <v>260</v>
      </c>
      <c r="C151" s="66">
        <f>+G151+ROUND(7045274,-2)</f>
        <v>55641400</v>
      </c>
      <c r="D151" s="243"/>
      <c r="E151" s="62">
        <f>+C151/C$210</f>
        <v>3.5246436962472101E-2</v>
      </c>
      <c r="G151" s="66">
        <v>48596100</v>
      </c>
      <c r="H151" s="62"/>
      <c r="I151" s="244">
        <f>+G151/G$210</f>
        <v>5.748031496062992E-2</v>
      </c>
      <c r="J151" s="212"/>
      <c r="K151" s="208"/>
      <c r="L151" s="68"/>
    </row>
    <row r="152" spans="1:13" s="61" customFormat="1" ht="15.75" customHeight="1" x14ac:dyDescent="0.3">
      <c r="B152" s="61" t="s">
        <v>66</v>
      </c>
      <c r="C152" s="66">
        <f>+G152+7322500</f>
        <v>43847800</v>
      </c>
      <c r="D152" s="242"/>
      <c r="E152" s="62">
        <f>+C152/C$210</f>
        <v>2.7775697927138503E-2</v>
      </c>
      <c r="F152" s="65"/>
      <c r="G152" s="69">
        <v>36525300</v>
      </c>
      <c r="H152" s="209"/>
      <c r="I152" s="244">
        <f>+G152/G$210</f>
        <v>4.3202762115303411E-2</v>
      </c>
      <c r="J152" s="212"/>
      <c r="K152" s="62">
        <v>0.129</v>
      </c>
      <c r="L152" s="68"/>
    </row>
    <row r="153" spans="1:13" s="61" customFormat="1" ht="6" customHeight="1" x14ac:dyDescent="0.3">
      <c r="C153" s="210"/>
      <c r="D153" s="242"/>
      <c r="E153" s="62"/>
      <c r="F153" s="65"/>
      <c r="G153" s="226"/>
      <c r="I153" s="244"/>
      <c r="J153" s="65"/>
      <c r="K153" s="62"/>
      <c r="L153" s="68"/>
    </row>
    <row r="154" spans="1:13" s="61" customFormat="1" ht="15.95" customHeight="1" x14ac:dyDescent="0.3">
      <c r="A154" s="67" t="s">
        <v>125</v>
      </c>
      <c r="B154" s="209"/>
      <c r="C154" s="210"/>
      <c r="D154" s="209"/>
      <c r="E154" s="208"/>
      <c r="F154" s="209"/>
      <c r="G154" s="210"/>
      <c r="H154" s="209"/>
      <c r="I154" s="211"/>
      <c r="J154" s="212"/>
      <c r="K154" s="208"/>
      <c r="L154" s="68"/>
    </row>
    <row r="155" spans="1:13" s="61" customFormat="1" ht="15.95" customHeight="1" x14ac:dyDescent="0.3">
      <c r="A155" s="70"/>
      <c r="B155" s="61" t="s">
        <v>55</v>
      </c>
      <c r="C155" s="66">
        <f>+G155+ROUND(10821938,-2)</f>
        <v>85117900</v>
      </c>
      <c r="D155" s="242"/>
      <c r="E155" s="62">
        <f>+C155/C$211</f>
        <v>5.1273038800046356E-2</v>
      </c>
      <c r="G155" s="66">
        <v>74296000</v>
      </c>
      <c r="H155" s="62"/>
      <c r="I155" s="244">
        <f>+G155/G$211</f>
        <v>8.4263380452293021E-2</v>
      </c>
      <c r="J155" s="212"/>
      <c r="K155" s="208"/>
      <c r="L155" s="68"/>
    </row>
    <row r="156" spans="1:13" s="61" customFormat="1" ht="15.95" customHeight="1" x14ac:dyDescent="0.3">
      <c r="B156" s="61" t="s">
        <v>260</v>
      </c>
      <c r="C156" s="66">
        <f>+G156+ROUND(83900+7369625,-2)</f>
        <v>44975600</v>
      </c>
      <c r="D156" s="243"/>
      <c r="E156" s="62">
        <f>+C156/C$211</f>
        <v>2.7092253026159772E-2</v>
      </c>
      <c r="G156" s="66">
        <v>37522100</v>
      </c>
      <c r="H156" s="62"/>
      <c r="I156" s="244">
        <f>+G156/G$211</f>
        <v>4.2555978621581024E-2</v>
      </c>
      <c r="J156" s="212"/>
      <c r="K156" s="208"/>
      <c r="L156" s="68"/>
    </row>
    <row r="157" spans="1:13" s="61" customFormat="1" ht="15.95" customHeight="1" x14ac:dyDescent="0.3">
      <c r="B157" s="61" t="s">
        <v>66</v>
      </c>
      <c r="C157" s="66">
        <v>104337600</v>
      </c>
      <c r="D157" s="242"/>
      <c r="E157" s="62">
        <f>+C157/C$211</f>
        <v>6.2850538054906396E-2</v>
      </c>
      <c r="F157" s="65"/>
      <c r="G157" s="69">
        <v>55058000</v>
      </c>
      <c r="H157" s="209"/>
      <c r="I157" s="244">
        <f>+G157/G$211</f>
        <v>6.2444454626660234E-2</v>
      </c>
      <c r="J157" s="212"/>
      <c r="K157" s="62">
        <v>0.128</v>
      </c>
      <c r="L157" s="68"/>
    </row>
    <row r="158" spans="1:13" s="61" customFormat="1" ht="6" customHeight="1" x14ac:dyDescent="0.3">
      <c r="C158" s="210"/>
      <c r="D158" s="242"/>
      <c r="E158" s="62"/>
      <c r="F158" s="65"/>
      <c r="G158" s="226"/>
      <c r="I158" s="244"/>
      <c r="J158" s="65"/>
      <c r="K158" s="62"/>
      <c r="L158" s="68"/>
    </row>
    <row r="159" spans="1:13" s="61" customFormat="1" ht="15.95" customHeight="1" x14ac:dyDescent="0.3">
      <c r="A159" s="67" t="s">
        <v>134</v>
      </c>
      <c r="B159" s="209"/>
      <c r="C159" s="210"/>
      <c r="D159" s="209"/>
      <c r="E159" s="208"/>
      <c r="F159" s="209"/>
      <c r="G159" s="210"/>
      <c r="H159" s="209"/>
      <c r="I159" s="211"/>
      <c r="J159" s="212"/>
      <c r="K159" s="208"/>
      <c r="L159" s="68"/>
    </row>
    <row r="160" spans="1:13" s="61" customFormat="1" ht="15.95" customHeight="1" x14ac:dyDescent="0.3">
      <c r="A160" s="70"/>
      <c r="B160" s="61" t="s">
        <v>55</v>
      </c>
      <c r="C160" s="66">
        <f>+G160+ROUND(8681500,-2)</f>
        <v>91722000</v>
      </c>
      <c r="D160" s="242"/>
      <c r="E160" s="244">
        <f>+C160/C$212</f>
        <v>5.2059010428148214E-2</v>
      </c>
      <c r="G160" s="66">
        <v>83040500</v>
      </c>
      <c r="H160" s="62"/>
      <c r="I160" s="244">
        <f>+G160/G$212</f>
        <v>8.8416450045538886E-2</v>
      </c>
      <c r="J160" s="212"/>
      <c r="K160" s="62"/>
      <c r="L160" s="68"/>
    </row>
    <row r="161" spans="1:12" s="61" customFormat="1" ht="15.95" customHeight="1" x14ac:dyDescent="0.3">
      <c r="B161" s="61" t="s">
        <v>260</v>
      </c>
      <c r="C161" s="66">
        <f>+G161</f>
        <v>63696000</v>
      </c>
      <c r="D161" s="243"/>
      <c r="E161" s="244">
        <f>+C161/C$212</f>
        <v>3.6152185170747787E-2</v>
      </c>
      <c r="G161" s="66">
        <v>63696000</v>
      </c>
      <c r="H161" s="62"/>
      <c r="I161" s="244">
        <f>+G161/G$212</f>
        <v>6.7819608529580688E-2</v>
      </c>
      <c r="J161" s="212"/>
      <c r="K161" s="208"/>
      <c r="L161" s="68"/>
    </row>
    <row r="162" spans="1:12" s="61" customFormat="1" ht="15.95" customHeight="1" x14ac:dyDescent="0.3">
      <c r="B162" s="61" t="s">
        <v>66</v>
      </c>
      <c r="C162" s="66">
        <f>+G162+7054800+1494400+225800+2500000</f>
        <v>79632500</v>
      </c>
      <c r="D162" s="242"/>
      <c r="E162" s="244">
        <f>+C162/C$212</f>
        <v>4.519732613679938E-2</v>
      </c>
      <c r="F162" s="65"/>
      <c r="G162" s="69">
        <v>68357500</v>
      </c>
      <c r="H162" s="209"/>
      <c r="I162" s="244">
        <f>+G162/G$212</f>
        <v>7.2782888879377228E-2</v>
      </c>
      <c r="J162" s="212"/>
      <c r="K162" s="62">
        <v>0.122</v>
      </c>
      <c r="L162" s="68"/>
    </row>
    <row r="163" spans="1:12" s="61" customFormat="1" ht="6" customHeight="1" x14ac:dyDescent="0.3">
      <c r="C163" s="66"/>
      <c r="D163" s="242"/>
      <c r="E163" s="62"/>
      <c r="F163" s="65"/>
      <c r="G163" s="69"/>
      <c r="H163" s="209"/>
      <c r="I163" s="244"/>
      <c r="J163" s="212"/>
      <c r="K163" s="62"/>
      <c r="L163" s="68"/>
    </row>
    <row r="164" spans="1:12" s="61" customFormat="1" ht="15.95" customHeight="1" x14ac:dyDescent="0.3">
      <c r="A164" s="67" t="s">
        <v>136</v>
      </c>
      <c r="B164" s="209"/>
      <c r="C164" s="210"/>
      <c r="D164" s="209"/>
      <c r="E164" s="208"/>
      <c r="F164" s="209"/>
      <c r="G164" s="210"/>
      <c r="H164" s="209"/>
      <c r="I164" s="211"/>
      <c r="J164" s="212"/>
      <c r="K164" s="208"/>
      <c r="L164" s="68"/>
    </row>
    <row r="165" spans="1:12" s="61" customFormat="1" ht="15.95" customHeight="1" x14ac:dyDescent="0.3">
      <c r="A165" s="70"/>
      <c r="B165" s="61" t="s">
        <v>55</v>
      </c>
      <c r="C165" s="66">
        <f>+G165+8096300</f>
        <v>92471426</v>
      </c>
      <c r="D165" s="242"/>
      <c r="E165" s="244">
        <f>+C165/C$213</f>
        <v>4.9194433491236852E-2</v>
      </c>
      <c r="G165" s="66">
        <v>84375126</v>
      </c>
      <c r="H165" s="62"/>
      <c r="I165" s="244">
        <f>+G165/G$213</f>
        <v>8.2788533429935349E-2</v>
      </c>
      <c r="J165" s="212"/>
      <c r="K165" s="62"/>
      <c r="L165" s="68"/>
    </row>
    <row r="166" spans="1:12" s="61" customFormat="1" ht="15.95" customHeight="1" x14ac:dyDescent="0.3">
      <c r="B166" s="61" t="s">
        <v>260</v>
      </c>
      <c r="C166" s="66">
        <f>+G166+8096300</f>
        <v>65645100</v>
      </c>
      <c r="D166" s="243"/>
      <c r="E166" s="244">
        <f>+C166/C$213</f>
        <v>3.492293398801477E-2</v>
      </c>
      <c r="G166" s="66">
        <v>57548800</v>
      </c>
      <c r="H166" s="62"/>
      <c r="I166" s="244">
        <f>+G166/G$213</f>
        <v>5.6466650522722338E-2</v>
      </c>
      <c r="J166" s="212"/>
      <c r="K166" s="208"/>
      <c r="L166" s="68"/>
    </row>
    <row r="167" spans="1:12" s="61" customFormat="1" ht="15.95" customHeight="1" x14ac:dyDescent="0.3">
      <c r="B167" s="61" t="s">
        <v>66</v>
      </c>
      <c r="C167" s="66">
        <f>+G167+10577600</f>
        <v>106717800</v>
      </c>
      <c r="D167" s="242"/>
      <c r="E167" s="244">
        <f>+C167/C$213</f>
        <v>5.6773448204758048E-2</v>
      </c>
      <c r="F167" s="65"/>
      <c r="G167" s="69">
        <v>96140200</v>
      </c>
      <c r="H167" s="209"/>
      <c r="I167" s="244">
        <f>+G167/G$213</f>
        <v>9.4332376601851481E-2</v>
      </c>
      <c r="J167" s="212"/>
      <c r="K167" s="62">
        <v>0.125</v>
      </c>
      <c r="L167" s="68"/>
    </row>
    <row r="168" spans="1:12" s="61" customFormat="1" ht="6" customHeight="1" x14ac:dyDescent="0.3">
      <c r="C168" s="66"/>
      <c r="D168" s="242"/>
      <c r="E168" s="244"/>
      <c r="F168" s="65"/>
      <c r="G168" s="69"/>
      <c r="H168" s="209"/>
      <c r="I168" s="244"/>
      <c r="J168" s="212"/>
      <c r="K168" s="208"/>
      <c r="L168" s="68"/>
    </row>
    <row r="169" spans="1:12" s="61" customFormat="1" ht="15.95" customHeight="1" x14ac:dyDescent="0.3">
      <c r="A169" s="67" t="s">
        <v>143</v>
      </c>
      <c r="B169" s="209"/>
      <c r="C169" s="210"/>
      <c r="D169" s="209"/>
      <c r="E169" s="208"/>
      <c r="F169" s="209"/>
      <c r="G169" s="210"/>
      <c r="H169" s="209"/>
      <c r="I169" s="211"/>
      <c r="J169" s="212"/>
      <c r="K169" s="208"/>
      <c r="L169" s="68"/>
    </row>
    <row r="170" spans="1:12" s="61" customFormat="1" ht="15.95" customHeight="1" x14ac:dyDescent="0.3">
      <c r="A170" s="70"/>
      <c r="B170" s="61" t="s">
        <v>55</v>
      </c>
      <c r="C170" s="66">
        <v>82260300</v>
      </c>
      <c r="D170" s="242"/>
      <c r="E170" s="279">
        <f>+C170/C$214</f>
        <v>4.1066609688159991E-2</v>
      </c>
      <c r="G170" s="66">
        <v>72393500</v>
      </c>
      <c r="H170" s="62"/>
      <c r="I170" s="279">
        <f>+G170/G$214</f>
        <v>6.5171858497390905E-2</v>
      </c>
      <c r="J170" s="212"/>
      <c r="K170" s="62"/>
      <c r="L170" s="68"/>
    </row>
    <row r="171" spans="1:12" s="61" customFormat="1" ht="15.95" customHeight="1" x14ac:dyDescent="0.3">
      <c r="B171" s="61" t="s">
        <v>260</v>
      </c>
      <c r="C171" s="66">
        <v>63085200</v>
      </c>
      <c r="D171" s="243"/>
      <c r="E171" s="279">
        <f>+C171/C$214</f>
        <v>3.1493871107928256E-2</v>
      </c>
      <c r="G171" s="66">
        <v>53218400</v>
      </c>
      <c r="H171" s="62"/>
      <c r="I171" s="279">
        <f>+G171/G$214</f>
        <v>4.7909577990531589E-2</v>
      </c>
      <c r="J171" s="212"/>
      <c r="K171" s="208"/>
      <c r="L171" s="68"/>
    </row>
    <row r="172" spans="1:12" s="61" customFormat="1" ht="15.95" customHeight="1" x14ac:dyDescent="0.3">
      <c r="B172" s="61" t="s">
        <v>66</v>
      </c>
      <c r="C172" s="66">
        <v>1209600</v>
      </c>
      <c r="D172" s="242"/>
      <c r="E172" s="279">
        <f>+C172/C$214</f>
        <v>6.038656688438813E-4</v>
      </c>
      <c r="F172" s="65"/>
      <c r="G172" s="362">
        <v>-9349700</v>
      </c>
      <c r="H172" s="362"/>
      <c r="I172" s="279">
        <f>+G172/G214</f>
        <v>-8.4170170718787709E-3</v>
      </c>
      <c r="J172" s="212"/>
      <c r="K172" s="208">
        <v>0.125</v>
      </c>
      <c r="L172" s="68"/>
    </row>
    <row r="173" spans="1:12" s="61" customFormat="1" ht="6" customHeight="1" x14ac:dyDescent="0.3">
      <c r="C173" s="66"/>
      <c r="D173" s="242"/>
      <c r="E173" s="244"/>
      <c r="F173" s="65"/>
      <c r="G173" s="69"/>
      <c r="H173" s="209"/>
      <c r="I173" s="244"/>
      <c r="J173" s="212"/>
      <c r="K173" s="62"/>
      <c r="L173" s="68"/>
    </row>
    <row r="174" spans="1:12" s="61" customFormat="1" ht="15.95" customHeight="1" x14ac:dyDescent="0.3">
      <c r="A174" s="67" t="s">
        <v>262</v>
      </c>
      <c r="B174" s="209"/>
      <c r="C174" s="210"/>
      <c r="D174" s="209"/>
      <c r="E174" s="208"/>
      <c r="F174" s="209"/>
      <c r="G174" s="210"/>
      <c r="H174" s="209"/>
      <c r="I174" s="211"/>
      <c r="J174" s="212"/>
      <c r="K174" s="208"/>
      <c r="L174" s="68"/>
    </row>
    <row r="175" spans="1:12" s="61" customFormat="1" ht="15.95" customHeight="1" x14ac:dyDescent="0.3">
      <c r="A175" s="70"/>
      <c r="B175" s="61" t="s">
        <v>55</v>
      </c>
      <c r="C175" s="210">
        <v>82260300</v>
      </c>
      <c r="D175" s="242"/>
      <c r="E175" s="279">
        <f>+C175/C$214</f>
        <v>4.1066609688159991E-2</v>
      </c>
      <c r="G175" s="210">
        <v>72393500</v>
      </c>
      <c r="H175" s="62"/>
      <c r="I175" s="279">
        <f>+G175/G$214</f>
        <v>6.5171858497390905E-2</v>
      </c>
      <c r="J175" s="212"/>
      <c r="K175" s="62"/>
      <c r="L175" s="68"/>
    </row>
    <row r="176" spans="1:12" s="61" customFormat="1" ht="15.95" customHeight="1" x14ac:dyDescent="0.3">
      <c r="B176" s="61" t="s">
        <v>260</v>
      </c>
      <c r="C176" s="210">
        <v>63085200</v>
      </c>
      <c r="D176" s="243"/>
      <c r="E176" s="279">
        <f>+C176/C$214</f>
        <v>3.1493871107928256E-2</v>
      </c>
      <c r="G176" s="210">
        <v>53218400</v>
      </c>
      <c r="H176" s="62"/>
      <c r="I176" s="279">
        <f>+G176/G$214</f>
        <v>4.7909577990531589E-2</v>
      </c>
      <c r="J176" s="212"/>
      <c r="K176" s="208"/>
      <c r="L176" s="68"/>
    </row>
    <row r="177" spans="1:12" s="61" customFormat="1" ht="15.95" customHeight="1" x14ac:dyDescent="0.3">
      <c r="B177" s="61" t="s">
        <v>66</v>
      </c>
      <c r="C177" s="210">
        <v>1209600</v>
      </c>
      <c r="D177" s="242"/>
      <c r="E177" s="279">
        <f>+C177/C$214</f>
        <v>6.038656688438813E-4</v>
      </c>
      <c r="F177" s="65"/>
      <c r="G177" s="416">
        <v>-9349700</v>
      </c>
      <c r="H177" s="362"/>
      <c r="I177" s="279" t="e">
        <f>+G177/G219</f>
        <v>#DIV/0!</v>
      </c>
      <c r="J177" s="212"/>
      <c r="K177" s="208">
        <v>0.125</v>
      </c>
      <c r="L177" s="68"/>
    </row>
    <row r="178" spans="1:12" s="61" customFormat="1" ht="6" customHeight="1" x14ac:dyDescent="0.3">
      <c r="C178" s="66"/>
      <c r="D178" s="242"/>
      <c r="E178" s="244"/>
      <c r="F178" s="65"/>
      <c r="G178" s="69"/>
      <c r="H178" s="209"/>
      <c r="I178" s="244"/>
      <c r="J178" s="212"/>
      <c r="K178" s="62"/>
      <c r="L178" s="68"/>
    </row>
    <row r="179" spans="1:12" s="61" customFormat="1" ht="15.95" customHeight="1" x14ac:dyDescent="0.3">
      <c r="A179" s="67" t="s">
        <v>263</v>
      </c>
      <c r="B179" s="209"/>
      <c r="C179" s="210"/>
      <c r="D179" s="209"/>
      <c r="E179" s="208"/>
      <c r="F179" s="209"/>
      <c r="G179" s="210"/>
      <c r="H179" s="209"/>
      <c r="I179" s="211"/>
      <c r="J179" s="212"/>
      <c r="K179" s="208"/>
      <c r="L179" s="68"/>
    </row>
    <row r="180" spans="1:12" s="61" customFormat="1" ht="15.95" customHeight="1" x14ac:dyDescent="0.3">
      <c r="A180" s="70"/>
      <c r="B180" s="61" t="s">
        <v>55</v>
      </c>
      <c r="C180" s="210">
        <v>82260300</v>
      </c>
      <c r="D180" s="242"/>
      <c r="E180" s="279">
        <f>+C180/C$214</f>
        <v>4.1066609688159991E-2</v>
      </c>
      <c r="G180" s="210">
        <v>72393500</v>
      </c>
      <c r="H180" s="62"/>
      <c r="I180" s="279">
        <f>+G180/G$214</f>
        <v>6.5171858497390905E-2</v>
      </c>
      <c r="J180" s="212"/>
      <c r="K180" s="62"/>
      <c r="L180" s="68"/>
    </row>
    <row r="181" spans="1:12" s="61" customFormat="1" ht="15.95" customHeight="1" x14ac:dyDescent="0.3">
      <c r="B181" s="61" t="s">
        <v>260</v>
      </c>
      <c r="C181" s="210">
        <v>63085200</v>
      </c>
      <c r="D181" s="243"/>
      <c r="E181" s="279">
        <f>+C181/C$214</f>
        <v>3.1493871107928256E-2</v>
      </c>
      <c r="G181" s="210">
        <v>53218400</v>
      </c>
      <c r="H181" s="62"/>
      <c r="I181" s="279">
        <f>+G181/G$214</f>
        <v>4.7909577990531589E-2</v>
      </c>
      <c r="J181" s="212"/>
      <c r="K181" s="208"/>
      <c r="L181" s="68"/>
    </row>
    <row r="182" spans="1:12" s="61" customFormat="1" ht="15.95" customHeight="1" x14ac:dyDescent="0.3">
      <c r="B182" s="61" t="s">
        <v>66</v>
      </c>
      <c r="C182" s="210">
        <v>1209600</v>
      </c>
      <c r="D182" s="242"/>
      <c r="E182" s="279">
        <f>+C182/C$214</f>
        <v>6.038656688438813E-4</v>
      </c>
      <c r="F182" s="65"/>
      <c r="G182" s="416">
        <v>-9349700</v>
      </c>
      <c r="H182" s="362"/>
      <c r="I182" s="279" t="e">
        <f>+G182/G224</f>
        <v>#DIV/0!</v>
      </c>
      <c r="J182" s="212"/>
      <c r="K182" s="208">
        <v>0.125</v>
      </c>
      <c r="L182" s="68"/>
    </row>
    <row r="183" spans="1:12" s="61" customFormat="1" ht="6" customHeight="1" x14ac:dyDescent="0.3">
      <c r="C183" s="66"/>
      <c r="D183" s="242"/>
      <c r="E183" s="244"/>
      <c r="F183" s="65"/>
      <c r="G183" s="69"/>
      <c r="H183" s="209"/>
      <c r="I183" s="244"/>
      <c r="J183" s="212"/>
      <c r="K183" s="62"/>
      <c r="L183" s="68"/>
    </row>
    <row r="184" spans="1:12" s="61" customFormat="1" ht="15.95" customHeight="1" x14ac:dyDescent="0.3">
      <c r="A184" s="67" t="s">
        <v>264</v>
      </c>
      <c r="B184" s="209"/>
      <c r="C184" s="210"/>
      <c r="D184" s="209"/>
      <c r="E184" s="208"/>
      <c r="F184" s="209"/>
      <c r="G184" s="210"/>
      <c r="H184" s="209"/>
      <c r="I184" s="211"/>
      <c r="J184" s="212"/>
      <c r="K184" s="208"/>
      <c r="L184" s="68"/>
    </row>
    <row r="185" spans="1:12" s="61" customFormat="1" ht="15.95" customHeight="1" x14ac:dyDescent="0.3">
      <c r="A185" s="70"/>
      <c r="B185" s="61" t="s">
        <v>55</v>
      </c>
      <c r="C185" s="210">
        <v>82260300</v>
      </c>
      <c r="D185" s="242"/>
      <c r="E185" s="279">
        <f>+C185/C$214</f>
        <v>4.1066609688159991E-2</v>
      </c>
      <c r="G185" s="210">
        <v>72393500</v>
      </c>
      <c r="H185" s="62"/>
      <c r="I185" s="279">
        <f>+G185/G$214</f>
        <v>6.5171858497390905E-2</v>
      </c>
      <c r="J185" s="212"/>
      <c r="K185" s="62"/>
      <c r="L185" s="68"/>
    </row>
    <row r="186" spans="1:12" s="61" customFormat="1" ht="15.95" customHeight="1" x14ac:dyDescent="0.3">
      <c r="B186" s="61" t="s">
        <v>260</v>
      </c>
      <c r="C186" s="210">
        <v>63085200</v>
      </c>
      <c r="D186" s="243"/>
      <c r="E186" s="279">
        <f>+C186/C$214</f>
        <v>3.1493871107928256E-2</v>
      </c>
      <c r="G186" s="210">
        <v>53218400</v>
      </c>
      <c r="H186" s="62"/>
      <c r="I186" s="279">
        <f>+G186/G$214</f>
        <v>4.7909577990531589E-2</v>
      </c>
      <c r="J186" s="212"/>
      <c r="K186" s="208"/>
      <c r="L186" s="68"/>
    </row>
    <row r="187" spans="1:12" s="61" customFormat="1" ht="15.95" customHeight="1" x14ac:dyDescent="0.3">
      <c r="B187" s="61" t="s">
        <v>66</v>
      </c>
      <c r="C187" s="210">
        <v>1209600</v>
      </c>
      <c r="D187" s="242"/>
      <c r="E187" s="279">
        <f>+C187/C$214</f>
        <v>6.038656688438813E-4</v>
      </c>
      <c r="F187" s="65"/>
      <c r="G187" s="416">
        <v>-9349700</v>
      </c>
      <c r="H187" s="362"/>
      <c r="I187" s="279" t="e">
        <f>+G187/G229</f>
        <v>#DIV/0!</v>
      </c>
      <c r="J187" s="212"/>
      <c r="K187" s="62" t="s">
        <v>265</v>
      </c>
      <c r="L187" s="68"/>
    </row>
    <row r="188" spans="1:12" s="61" customFormat="1" ht="6" customHeight="1" x14ac:dyDescent="0.3">
      <c r="C188" s="66"/>
      <c r="D188" s="242"/>
      <c r="E188" s="244"/>
      <c r="F188" s="65"/>
      <c r="G188" s="69"/>
      <c r="H188" s="209"/>
      <c r="I188" s="244"/>
      <c r="J188" s="212"/>
      <c r="K188" s="62"/>
      <c r="L188" s="68"/>
    </row>
    <row r="189" spans="1:12" s="415" customFormat="1" ht="14.1" customHeight="1" x14ac:dyDescent="0.3">
      <c r="A189" s="483" t="s">
        <v>133</v>
      </c>
      <c r="B189" s="483"/>
      <c r="C189" s="483"/>
      <c r="D189" s="483"/>
      <c r="E189" s="483"/>
      <c r="F189" s="483"/>
      <c r="G189" s="483"/>
      <c r="H189" s="483"/>
      <c r="I189" s="483"/>
      <c r="J189" s="483"/>
      <c r="K189" s="483"/>
      <c r="L189" s="414"/>
    </row>
    <row r="190" spans="1:12" ht="14.1" customHeight="1" x14ac:dyDescent="0.3">
      <c r="A190" s="483"/>
      <c r="B190" s="483"/>
      <c r="C190" s="483"/>
      <c r="D190" s="483"/>
      <c r="E190" s="483"/>
      <c r="F190" s="483"/>
      <c r="G190" s="483"/>
      <c r="H190" s="483"/>
      <c r="I190" s="483"/>
      <c r="J190" s="483"/>
      <c r="K190" s="483"/>
      <c r="L190" s="56"/>
    </row>
    <row r="191" spans="1:12" ht="14.1" customHeight="1" x14ac:dyDescent="0.3">
      <c r="A191" s="484" t="s">
        <v>130</v>
      </c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56"/>
    </row>
    <row r="192" spans="1:12" ht="14.1" customHeight="1" x14ac:dyDescent="0.3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56"/>
    </row>
    <row r="193" spans="1:12" ht="16.5" x14ac:dyDescent="0.3">
      <c r="A193" s="75"/>
      <c r="B193" s="75"/>
      <c r="C193" s="61"/>
      <c r="D193" s="61"/>
      <c r="E193" s="61"/>
      <c r="F193" s="61"/>
      <c r="G193" s="79"/>
      <c r="H193" s="61"/>
      <c r="I193" s="62"/>
      <c r="J193" s="62"/>
      <c r="K193" s="71"/>
      <c r="L193" s="56"/>
    </row>
    <row r="194" spans="1:12" x14ac:dyDescent="0.3">
      <c r="A194" s="480" t="s">
        <v>138</v>
      </c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56"/>
    </row>
    <row r="195" spans="1:12" ht="13.5" customHeight="1" x14ac:dyDescent="0.3">
      <c r="A195" s="56"/>
      <c r="B195" s="56" t="s">
        <v>83</v>
      </c>
      <c r="C195" s="76">
        <v>735439700</v>
      </c>
      <c r="D195" s="76"/>
      <c r="E195" s="76"/>
      <c r="F195" s="76"/>
      <c r="G195" s="76">
        <v>539121800</v>
      </c>
      <c r="H195" s="77"/>
      <c r="I195" s="78"/>
      <c r="J195" s="78"/>
      <c r="K195" s="203"/>
      <c r="L195" s="56"/>
    </row>
    <row r="196" spans="1:12" x14ac:dyDescent="0.3">
      <c r="A196" s="56"/>
      <c r="B196" s="56" t="s">
        <v>84</v>
      </c>
      <c r="C196" s="76">
        <f>799005100</f>
        <v>799005100</v>
      </c>
      <c r="D196" s="76"/>
      <c r="E196" s="76"/>
      <c r="F196" s="76"/>
      <c r="G196" s="76">
        <f>587525300</f>
        <v>587525300</v>
      </c>
      <c r="H196" s="77"/>
      <c r="I196" s="78"/>
      <c r="J196" s="78"/>
      <c r="K196" s="203"/>
      <c r="L196" s="56"/>
    </row>
    <row r="197" spans="1:12" x14ac:dyDescent="0.3">
      <c r="A197" s="56"/>
      <c r="B197" s="56" t="s">
        <v>85</v>
      </c>
      <c r="C197" s="76">
        <v>821864200</v>
      </c>
      <c r="D197" s="76"/>
      <c r="E197" s="76"/>
      <c r="F197" s="76"/>
      <c r="G197" s="76">
        <v>566028700</v>
      </c>
      <c r="H197" s="77"/>
      <c r="I197" s="78"/>
      <c r="J197" s="78"/>
      <c r="K197" s="203"/>
      <c r="L197" s="56"/>
    </row>
    <row r="198" spans="1:12" x14ac:dyDescent="0.3">
      <c r="A198" s="77"/>
      <c r="B198" s="56" t="s">
        <v>86</v>
      </c>
      <c r="C198" s="76">
        <v>873049400</v>
      </c>
      <c r="D198" s="77"/>
      <c r="E198" s="78"/>
      <c r="F198" s="77"/>
      <c r="G198" s="76">
        <f>470350900+95000000</f>
        <v>565350900</v>
      </c>
      <c r="H198" s="77"/>
      <c r="I198" s="78"/>
      <c r="J198" s="78"/>
      <c r="K198" s="203"/>
      <c r="L198" s="56"/>
    </row>
    <row r="199" spans="1:12" x14ac:dyDescent="0.3">
      <c r="A199" s="56"/>
      <c r="B199" s="56" t="s">
        <v>87</v>
      </c>
      <c r="C199" s="76">
        <v>957124900</v>
      </c>
      <c r="D199" s="77"/>
      <c r="E199" s="77"/>
      <c r="F199" s="77"/>
      <c r="G199" s="76">
        <v>622803300</v>
      </c>
      <c r="H199" s="77"/>
      <c r="I199" s="77"/>
      <c r="J199" s="77"/>
      <c r="K199" s="203"/>
      <c r="L199" s="56"/>
    </row>
    <row r="200" spans="1:12" x14ac:dyDescent="0.3">
      <c r="A200" s="56"/>
      <c r="B200" s="56" t="s">
        <v>88</v>
      </c>
      <c r="C200" s="230">
        <v>972222900</v>
      </c>
      <c r="D200" s="77"/>
      <c r="E200" s="77"/>
      <c r="F200" s="77"/>
      <c r="G200" s="230">
        <v>622803300</v>
      </c>
      <c r="H200" s="77"/>
      <c r="I200" s="77"/>
      <c r="J200" s="77"/>
      <c r="K200" s="77"/>
      <c r="L200" s="56"/>
    </row>
    <row r="201" spans="1:12" x14ac:dyDescent="0.3">
      <c r="A201" s="56"/>
      <c r="B201" s="56" t="s">
        <v>89</v>
      </c>
      <c r="C201" s="230">
        <v>1020558900</v>
      </c>
      <c r="D201" s="77"/>
      <c r="E201" s="77"/>
      <c r="F201" s="77"/>
      <c r="G201" s="230">
        <v>650545600</v>
      </c>
      <c r="H201" s="77"/>
      <c r="I201" s="77"/>
      <c r="J201" s="77"/>
      <c r="K201" s="77"/>
      <c r="L201" s="56"/>
    </row>
    <row r="202" spans="1:12" x14ac:dyDescent="0.3">
      <c r="B202" s="56" t="s">
        <v>90</v>
      </c>
      <c r="C202" s="230">
        <v>1121934600</v>
      </c>
      <c r="D202" s="77"/>
      <c r="E202" s="77"/>
      <c r="F202" s="77"/>
      <c r="G202" s="230">
        <v>732421200</v>
      </c>
      <c r="H202" s="77"/>
      <c r="I202" s="77"/>
      <c r="J202" s="77"/>
      <c r="K202" s="77"/>
      <c r="L202" s="56"/>
    </row>
    <row r="203" spans="1:12" x14ac:dyDescent="0.3">
      <c r="B203" s="56" t="s">
        <v>96</v>
      </c>
      <c r="C203" s="230">
        <v>1106776853</v>
      </c>
      <c r="D203" s="56"/>
      <c r="E203" s="56"/>
      <c r="F203" s="56"/>
      <c r="G203" s="230">
        <v>682793200</v>
      </c>
      <c r="H203" s="56"/>
      <c r="I203" s="56"/>
      <c r="J203" s="56"/>
      <c r="K203" s="56"/>
      <c r="L203" s="56"/>
    </row>
    <row r="204" spans="1:12" x14ac:dyDescent="0.3">
      <c r="B204" s="56" t="s">
        <v>97</v>
      </c>
      <c r="C204" s="230">
        <v>1099814000</v>
      </c>
      <c r="D204" s="56"/>
      <c r="E204" s="56"/>
      <c r="F204" s="56"/>
      <c r="G204" s="230">
        <v>640610400</v>
      </c>
      <c r="H204" s="56"/>
      <c r="I204" s="56"/>
      <c r="J204" s="56"/>
      <c r="K204" s="56"/>
      <c r="L204" s="56"/>
    </row>
    <row r="205" spans="1:12" x14ac:dyDescent="0.3">
      <c r="B205" s="56" t="s">
        <v>98</v>
      </c>
      <c r="C205" s="230">
        <v>1188467100</v>
      </c>
      <c r="D205" s="56"/>
      <c r="E205" s="56"/>
      <c r="F205" s="56"/>
      <c r="G205" s="230">
        <v>674003600</v>
      </c>
      <c r="H205" s="56"/>
      <c r="I205" s="56"/>
      <c r="J205" s="56"/>
      <c r="K205" s="56"/>
      <c r="L205" s="56"/>
    </row>
    <row r="206" spans="1:12" x14ac:dyDescent="0.3">
      <c r="B206" s="56" t="s">
        <v>102</v>
      </c>
      <c r="C206" s="230">
        <v>1259509800</v>
      </c>
      <c r="D206" s="56"/>
      <c r="E206" s="56"/>
      <c r="F206" s="56"/>
      <c r="G206" s="230">
        <v>661290000</v>
      </c>
      <c r="H206" s="56"/>
      <c r="I206" s="56"/>
      <c r="J206" s="56"/>
      <c r="K206" s="56"/>
      <c r="L206" s="56"/>
    </row>
    <row r="207" spans="1:12" x14ac:dyDescent="0.3">
      <c r="B207" s="56" t="s">
        <v>106</v>
      </c>
      <c r="C207" s="228">
        <v>1297155700</v>
      </c>
      <c r="D207" s="56"/>
      <c r="E207" s="56"/>
      <c r="F207" s="56"/>
      <c r="G207" s="227">
        <v>682638600</v>
      </c>
      <c r="H207" s="56"/>
      <c r="I207" s="56"/>
      <c r="J207" s="56"/>
      <c r="K207" s="56"/>
      <c r="L207" s="56"/>
    </row>
    <row r="208" spans="1:12" x14ac:dyDescent="0.3">
      <c r="B208" s="56" t="s">
        <v>107</v>
      </c>
      <c r="C208" s="228">
        <f>1390251700</f>
        <v>1390251700</v>
      </c>
      <c r="D208" s="220"/>
      <c r="E208" s="220"/>
      <c r="F208" s="220"/>
      <c r="G208" s="227">
        <f>724199000</f>
        <v>724199000</v>
      </c>
      <c r="H208" s="56"/>
      <c r="I208" s="56"/>
      <c r="J208" s="56"/>
      <c r="K208" s="56"/>
      <c r="L208" s="56"/>
    </row>
    <row r="209" spans="2:12" x14ac:dyDescent="0.3">
      <c r="B209" s="56" t="s">
        <v>121</v>
      </c>
      <c r="C209" s="228">
        <f>1503227100</f>
        <v>1503227100</v>
      </c>
      <c r="D209" s="220"/>
      <c r="E209" s="220"/>
      <c r="F209" s="220"/>
      <c r="G209" s="227">
        <f>805738800</f>
        <v>805738800</v>
      </c>
      <c r="H209" s="56"/>
      <c r="I209" s="56"/>
      <c r="J209" s="56"/>
      <c r="K209" s="229"/>
      <c r="L209" s="229"/>
    </row>
    <row r="210" spans="2:12" x14ac:dyDescent="0.3">
      <c r="B210" s="56" t="s">
        <v>124</v>
      </c>
      <c r="C210" s="228">
        <f>1578639000</f>
        <v>1578639000</v>
      </c>
      <c r="D210" s="220"/>
      <c r="E210" s="220"/>
      <c r="F210" s="220"/>
      <c r="G210" s="227">
        <f>845439000</f>
        <v>845439000</v>
      </c>
      <c r="H210" s="56"/>
      <c r="I210" s="56"/>
      <c r="J210" s="56"/>
      <c r="K210" s="56"/>
      <c r="L210" s="56"/>
    </row>
    <row r="211" spans="2:12" x14ac:dyDescent="0.3">
      <c r="B211" s="56" t="s">
        <v>126</v>
      </c>
      <c r="C211" s="228">
        <f>1660090800</f>
        <v>1660090800</v>
      </c>
      <c r="D211" s="56"/>
      <c r="E211" s="56"/>
      <c r="F211" s="56"/>
      <c r="G211" s="227">
        <f>881711600</f>
        <v>881711600</v>
      </c>
      <c r="H211" s="56"/>
      <c r="I211" s="56"/>
      <c r="J211" s="56"/>
      <c r="K211" s="56"/>
      <c r="L211" s="56"/>
    </row>
    <row r="212" spans="2:12" x14ac:dyDescent="0.3">
      <c r="B212" s="56" t="s">
        <v>135</v>
      </c>
      <c r="C212" s="228">
        <v>1761885200</v>
      </c>
      <c r="D212" s="56"/>
      <c r="E212" s="56"/>
      <c r="F212" s="56"/>
      <c r="G212" s="227">
        <v>939197400</v>
      </c>
      <c r="H212" s="56"/>
      <c r="I212" s="56"/>
      <c r="J212" s="56"/>
      <c r="K212" s="56"/>
      <c r="L212" s="56"/>
    </row>
    <row r="213" spans="2:12" x14ac:dyDescent="0.3">
      <c r="B213" s="56" t="s">
        <v>137</v>
      </c>
      <c r="C213" s="228">
        <v>1879713200</v>
      </c>
      <c r="D213" s="56"/>
      <c r="E213" s="56"/>
      <c r="F213" s="56"/>
      <c r="G213" s="227">
        <v>1019164400</v>
      </c>
      <c r="H213" s="56"/>
      <c r="I213" s="56"/>
      <c r="J213" s="56"/>
      <c r="K213" s="56"/>
      <c r="L213" s="56"/>
    </row>
    <row r="214" spans="2:12" x14ac:dyDescent="0.3">
      <c r="B214" s="56" t="s">
        <v>144</v>
      </c>
      <c r="C214" s="228">
        <v>2003094500</v>
      </c>
      <c r="D214" s="56"/>
      <c r="E214" s="56"/>
      <c r="F214" s="56"/>
      <c r="G214" s="227">
        <v>1110809200</v>
      </c>
    </row>
  </sheetData>
  <mergeCells count="6">
    <mergeCell ref="A194:K194"/>
    <mergeCell ref="G5:I5"/>
    <mergeCell ref="C6:E6"/>
    <mergeCell ref="G6:I6"/>
    <mergeCell ref="A189:K190"/>
    <mergeCell ref="A191:K192"/>
  </mergeCells>
  <pageMargins left="0.7" right="0.7" top="0.7" bottom="0.7" header="0.5" footer="0.25"/>
  <pageSetup scale="82" orientation="portrait" r:id="rId1"/>
  <headerFooter alignWithMargins="0">
    <oddFooter>&amp;L&amp;"Arial Narrow,Regular"BLS&amp;C&amp;"Arial Narrow,Regular"Utah System of Higher Education&amp;R&amp;"Arial Narrow,Regular"Page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0367-47CD-4259-8C0A-B57B818CC8E3}">
  <sheetPr>
    <pageSetUpPr fitToPage="1"/>
  </sheetPr>
  <dimension ref="A1:U48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28</v>
      </c>
      <c r="B1" s="157"/>
      <c r="C1" s="157"/>
      <c r="D1" s="157"/>
      <c r="E1" s="157"/>
      <c r="F1" s="158" t="str">
        <f>+'USHE-GOV'!N1</f>
        <v>December 6, 2024</v>
      </c>
      <c r="G1" s="404">
        <v>483028600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435"/>
      <c r="C9" s="164" t="s">
        <v>7</v>
      </c>
      <c r="D9" s="164"/>
      <c r="E9" s="162"/>
      <c r="F9" s="262">
        <f>SUM(F10:F11)</f>
        <v>19222300</v>
      </c>
      <c r="G9" s="411"/>
    </row>
    <row r="10" spans="1:21" ht="15.75" customHeight="1" x14ac:dyDescent="0.25">
      <c r="A10" s="171"/>
      <c r="B10" s="435"/>
      <c r="C10" s="164"/>
      <c r="D10" s="166" t="s">
        <v>317</v>
      </c>
      <c r="E10" s="162"/>
      <c r="F10" s="376">
        <v>15524400</v>
      </c>
    </row>
    <row r="11" spans="1:21" ht="15.75" customHeight="1" x14ac:dyDescent="0.25">
      <c r="A11" s="171"/>
      <c r="B11" s="435"/>
      <c r="C11" s="164"/>
      <c r="D11" s="166" t="s">
        <v>318</v>
      </c>
      <c r="E11" s="162"/>
      <c r="F11" s="255">
        <v>3697900</v>
      </c>
    </row>
    <row r="12" spans="1:21" ht="15.75" customHeight="1" x14ac:dyDescent="0.25">
      <c r="A12" s="171"/>
      <c r="B12" s="435"/>
      <c r="C12" s="164" t="s">
        <v>205</v>
      </c>
      <c r="D12" s="436"/>
      <c r="E12" s="162"/>
      <c r="F12" s="255">
        <f>SUM(F13:F14)</f>
        <v>8869900</v>
      </c>
    </row>
    <row r="13" spans="1:21" s="288" customFormat="1" ht="15.75" customHeight="1" x14ac:dyDescent="0.25">
      <c r="A13" s="171"/>
      <c r="B13" s="435"/>
      <c r="C13" s="164"/>
      <c r="D13" s="437" t="s">
        <v>258</v>
      </c>
      <c r="E13" s="162"/>
      <c r="F13" s="255">
        <v>3404600</v>
      </c>
      <c r="G13" s="411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</row>
    <row r="14" spans="1:21" s="288" customFormat="1" ht="15.75" customHeight="1" x14ac:dyDescent="0.25">
      <c r="A14" s="171"/>
      <c r="B14" s="435"/>
      <c r="C14" s="164"/>
      <c r="D14" s="437" t="s">
        <v>153</v>
      </c>
      <c r="E14" s="162"/>
      <c r="F14" s="255">
        <v>5465300</v>
      </c>
      <c r="G14" s="411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</row>
    <row r="15" spans="1:21" s="288" customFormat="1" ht="15.75" customHeight="1" x14ac:dyDescent="0.25">
      <c r="A15" s="171"/>
      <c r="B15" s="435"/>
      <c r="C15" s="164" t="s">
        <v>48</v>
      </c>
      <c r="D15" s="437"/>
      <c r="E15" s="162"/>
      <c r="F15" s="262">
        <f>SUM(F16:F21)</f>
        <v>-6512200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435"/>
      <c r="C16" s="164"/>
      <c r="D16" s="437" t="s">
        <v>295</v>
      </c>
      <c r="E16" s="162"/>
      <c r="F16" s="255">
        <f>-5999100-680200-120000-94500-63200-217900</f>
        <v>-7174900</v>
      </c>
      <c r="G16" s="411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435"/>
      <c r="C17" s="164"/>
      <c r="D17" s="437" t="s">
        <v>297</v>
      </c>
      <c r="E17" s="162"/>
      <c r="F17" s="255">
        <v>662700</v>
      </c>
      <c r="G17" s="411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435"/>
      <c r="C18" s="164"/>
      <c r="D18" s="438"/>
      <c r="E18" s="162"/>
      <c r="F18" s="255"/>
      <c r="G18" s="411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hidden="1" customHeight="1" x14ac:dyDescent="0.25">
      <c r="A19" s="171"/>
      <c r="B19" s="435"/>
      <c r="C19" s="164"/>
      <c r="D19" s="438"/>
      <c r="E19" s="162"/>
      <c r="F19" s="255"/>
      <c r="G19" s="411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hidden="1" customHeight="1" x14ac:dyDescent="0.25">
      <c r="A20" s="171"/>
      <c r="B20" s="435"/>
      <c r="C20" s="164"/>
      <c r="D20" s="439" t="s">
        <v>279</v>
      </c>
      <c r="E20" s="162"/>
      <c r="F20" s="255"/>
      <c r="G20" s="411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1" s="288" customFormat="1" ht="15.75" hidden="1" customHeight="1" x14ac:dyDescent="0.25">
      <c r="A21" s="171"/>
      <c r="B21" s="435"/>
      <c r="C21" s="164"/>
      <c r="D21" s="439" t="s">
        <v>273</v>
      </c>
      <c r="E21" s="162"/>
      <c r="F21" s="255"/>
      <c r="G21" s="411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1" s="288" customFormat="1" ht="15.75" customHeight="1" x14ac:dyDescent="0.25">
      <c r="A22" s="182"/>
      <c r="B22" s="303"/>
      <c r="C22" s="304"/>
      <c r="D22" s="183"/>
      <c r="E22" s="185"/>
      <c r="F22" s="377"/>
      <c r="K22" s="289"/>
    </row>
    <row r="23" spans="1:21" s="288" customFormat="1" ht="15.75" customHeight="1" x14ac:dyDescent="0.25">
      <c r="A23" s="178"/>
      <c r="B23" s="179"/>
      <c r="C23" s="179"/>
      <c r="D23" s="180"/>
      <c r="E23" s="181"/>
      <c r="F23" s="378"/>
      <c r="K23" s="289"/>
    </row>
    <row r="24" spans="1:21" s="288" customFormat="1" ht="15.75" customHeight="1" x14ac:dyDescent="0.25">
      <c r="A24" s="171"/>
      <c r="B24" s="170" t="s">
        <v>176</v>
      </c>
      <c r="C24" s="170"/>
      <c r="D24" s="170"/>
      <c r="E24" s="172"/>
      <c r="F24" s="379">
        <f>+F12+F15+F9</f>
        <v>21580000</v>
      </c>
      <c r="K24" s="289"/>
    </row>
    <row r="25" spans="1:21" ht="15.75" customHeight="1" x14ac:dyDescent="0.25">
      <c r="A25" s="171"/>
      <c r="B25" s="170"/>
      <c r="C25" s="251" t="s">
        <v>177</v>
      </c>
      <c r="D25" s="170"/>
      <c r="E25" s="172"/>
      <c r="F25" s="380">
        <f>+F24/$G$1</f>
        <v>4.4676443589468616E-2</v>
      </c>
    </row>
    <row r="26" spans="1:21" ht="15.75" customHeight="1" x14ac:dyDescent="0.25">
      <c r="A26" s="182"/>
      <c r="B26" s="183"/>
      <c r="C26" s="183"/>
      <c r="D26" s="183"/>
      <c r="E26" s="185"/>
      <c r="F26" s="381"/>
    </row>
    <row r="27" spans="1:21" s="300" customFormat="1" ht="15.75" customHeight="1" x14ac:dyDescent="0.25">
      <c r="A27" s="178"/>
      <c r="B27" s="186"/>
      <c r="C27" s="186"/>
      <c r="D27" s="186"/>
      <c r="E27" s="188"/>
      <c r="F27" s="382"/>
      <c r="G27" s="371"/>
      <c r="H27" s="371"/>
      <c r="I27" s="371"/>
      <c r="J27" s="371"/>
    </row>
    <row r="28" spans="1:21" ht="15.75" customHeight="1" x14ac:dyDescent="0.25">
      <c r="A28" s="171"/>
      <c r="B28" s="163" t="s">
        <v>100</v>
      </c>
      <c r="C28" s="435"/>
      <c r="D28" s="251"/>
      <c r="E28" s="162"/>
      <c r="F28" s="383"/>
    </row>
    <row r="29" spans="1:21" ht="15.75" customHeight="1" x14ac:dyDescent="0.25">
      <c r="A29" s="171"/>
      <c r="B29" s="163"/>
      <c r="C29" s="437" t="s">
        <v>329</v>
      </c>
      <c r="D29" s="251"/>
      <c r="E29" s="162"/>
      <c r="F29" s="169">
        <v>2500000</v>
      </c>
    </row>
    <row r="30" spans="1:21" s="309" customFormat="1" ht="15.75" customHeight="1" x14ac:dyDescent="0.25">
      <c r="A30" s="160"/>
      <c r="B30" s="251"/>
      <c r="C30" s="437" t="s">
        <v>295</v>
      </c>
      <c r="D30" s="166"/>
      <c r="E30" s="162"/>
      <c r="F30" s="255">
        <v>7174900</v>
      </c>
      <c r="G30" s="411"/>
      <c r="H30" s="288"/>
      <c r="I30" s="288"/>
      <c r="J30" s="288"/>
    </row>
    <row r="31" spans="1:21" s="309" customFormat="1" ht="15.75" customHeight="1" x14ac:dyDescent="0.25">
      <c r="A31" s="160"/>
      <c r="B31" s="251"/>
      <c r="C31" s="437" t="s">
        <v>286</v>
      </c>
      <c r="D31" s="166"/>
      <c r="E31" s="162"/>
      <c r="F31" s="255">
        <v>800000</v>
      </c>
      <c r="G31" s="411"/>
      <c r="H31" s="288"/>
      <c r="I31" s="288"/>
      <c r="J31" s="288"/>
    </row>
    <row r="32" spans="1:21" s="309" customFormat="1" ht="15.75" customHeight="1" x14ac:dyDescent="0.25">
      <c r="A32" s="160"/>
      <c r="B32" s="251"/>
      <c r="C32" s="437" t="s">
        <v>297</v>
      </c>
      <c r="D32" s="166"/>
      <c r="E32" s="162"/>
      <c r="F32" s="255">
        <v>-662700</v>
      </c>
      <c r="G32" s="411"/>
      <c r="H32" s="288"/>
      <c r="I32" s="288"/>
      <c r="J32" s="288"/>
    </row>
    <row r="33" spans="1:11" s="309" customFormat="1" ht="15.75" customHeight="1" x14ac:dyDescent="0.25">
      <c r="A33" s="160"/>
      <c r="B33" s="251"/>
      <c r="C33" s="437" t="s">
        <v>259</v>
      </c>
      <c r="D33" s="166"/>
      <c r="E33" s="162"/>
      <c r="F33" s="255">
        <f>-473400-161600-2302300</f>
        <v>-2937300</v>
      </c>
      <c r="G33" s="411"/>
      <c r="H33" s="288"/>
      <c r="I33" s="288"/>
      <c r="J33" s="288"/>
    </row>
    <row r="34" spans="1:11" s="320" customFormat="1" ht="15.75" customHeight="1" x14ac:dyDescent="0.25">
      <c r="A34" s="310"/>
      <c r="B34" s="311"/>
      <c r="C34" s="312"/>
      <c r="D34" s="313"/>
      <c r="E34" s="314"/>
      <c r="F34" s="384"/>
    </row>
    <row r="35" spans="1:11" s="320" customFormat="1" ht="15.75" customHeight="1" x14ac:dyDescent="0.25">
      <c r="A35" s="321"/>
      <c r="B35" s="322"/>
      <c r="C35" s="323"/>
      <c r="D35" s="324"/>
      <c r="E35" s="339"/>
      <c r="F35" s="248"/>
      <c r="K35" s="332"/>
    </row>
    <row r="36" spans="1:11" s="320" customFormat="1" ht="15.75" customHeight="1" x14ac:dyDescent="0.25">
      <c r="A36" s="321"/>
      <c r="B36" s="333" t="s">
        <v>211</v>
      </c>
      <c r="C36" s="333"/>
      <c r="D36" s="333"/>
      <c r="E36" s="334"/>
      <c r="F36" s="385">
        <f>SUM(F29:G33)</f>
        <v>6874900</v>
      </c>
      <c r="K36" s="332"/>
    </row>
    <row r="37" spans="1:11" s="320" customFormat="1" ht="15.75" customHeight="1" x14ac:dyDescent="0.25">
      <c r="A37" s="321"/>
      <c r="B37" s="333"/>
      <c r="C37" s="322" t="s">
        <v>177</v>
      </c>
      <c r="D37" s="333"/>
      <c r="E37" s="334"/>
      <c r="F37" s="380">
        <f>+F36/G1</f>
        <v>1.4232904635460508E-2</v>
      </c>
      <c r="K37" s="332"/>
    </row>
    <row r="38" spans="1:11" s="320" customFormat="1" ht="15.75" customHeight="1" x14ac:dyDescent="0.25">
      <c r="A38" s="335"/>
      <c r="B38" s="311"/>
      <c r="C38" s="311"/>
      <c r="D38" s="311"/>
      <c r="E38" s="314"/>
      <c r="F38" s="386"/>
      <c r="K38" s="332"/>
    </row>
    <row r="39" spans="1:11" s="320" customFormat="1" ht="15.75" customHeight="1" x14ac:dyDescent="0.25">
      <c r="A39" s="387"/>
      <c r="B39" s="338"/>
      <c r="C39" s="338"/>
      <c r="D39" s="338"/>
      <c r="E39" s="338"/>
      <c r="F39" s="388"/>
      <c r="K39" s="332"/>
    </row>
    <row r="40" spans="1:11" s="341" customFormat="1" ht="15.75" customHeight="1" x14ac:dyDescent="0.25">
      <c r="A40" s="273" t="s">
        <v>320</v>
      </c>
      <c r="B40" s="189"/>
      <c r="C40" s="189"/>
      <c r="D40" s="189"/>
      <c r="E40" s="189"/>
      <c r="F40" s="434">
        <f>+F24+F36</f>
        <v>28454900</v>
      </c>
      <c r="G40" s="411"/>
      <c r="H40" s="299"/>
      <c r="I40" s="299"/>
      <c r="J40" s="299"/>
    </row>
    <row r="41" spans="1:11" s="341" customFormat="1" ht="15.75" customHeight="1" x14ac:dyDescent="0.25">
      <c r="A41" s="273"/>
      <c r="B41" s="189"/>
      <c r="C41" s="216" t="s">
        <v>177</v>
      </c>
      <c r="D41" s="217"/>
      <c r="E41" s="217"/>
      <c r="F41" s="389">
        <f>+F40/G1</f>
        <v>5.8909348224929124E-2</v>
      </c>
      <c r="G41" s="299"/>
      <c r="H41" s="299"/>
      <c r="I41" s="299"/>
      <c r="J41" s="299"/>
    </row>
    <row r="42" spans="1:11" s="346" customFormat="1" ht="15.75" customHeight="1" x14ac:dyDescent="0.25">
      <c r="A42" s="343"/>
      <c r="B42" s="344"/>
      <c r="C42" s="344"/>
      <c r="D42" s="344"/>
      <c r="E42" s="344"/>
      <c r="F42" s="345"/>
      <c r="G42" s="288"/>
      <c r="H42" s="288"/>
      <c r="I42" s="288"/>
      <c r="J42" s="288"/>
    </row>
    <row r="43" spans="1:11" s="346" customFormat="1" ht="15.75" customHeight="1" x14ac:dyDescent="0.25">
      <c r="A43" s="347"/>
      <c r="B43" s="347"/>
      <c r="C43" s="347"/>
      <c r="D43" s="347"/>
      <c r="E43" s="347"/>
      <c r="G43" s="288"/>
      <c r="H43" s="288"/>
      <c r="I43" s="288"/>
      <c r="J43" s="288"/>
    </row>
    <row r="44" spans="1:11" s="346" customFormat="1" ht="18" customHeight="1" x14ac:dyDescent="0.3">
      <c r="A44" s="459"/>
      <c r="B44" s="459"/>
      <c r="C44" s="459"/>
      <c r="D44" s="459"/>
      <c r="E44" s="459"/>
      <c r="F44" s="370"/>
      <c r="G44" s="288"/>
      <c r="H44" s="288"/>
      <c r="I44" s="288"/>
      <c r="J44" s="288"/>
    </row>
    <row r="45" spans="1:11" s="346" customFormat="1" ht="18" customHeight="1" x14ac:dyDescent="0.25">
      <c r="A45" s="461"/>
      <c r="B45" s="461"/>
      <c r="C45" s="461"/>
      <c r="D45" s="461"/>
      <c r="E45" s="461"/>
      <c r="F45" s="349"/>
      <c r="G45" s="288"/>
      <c r="H45" s="288"/>
      <c r="I45" s="288"/>
      <c r="J45" s="288"/>
    </row>
    <row r="46" spans="1:11" s="346" customFormat="1" ht="18" customHeight="1" x14ac:dyDescent="0.25">
      <c r="A46" s="461"/>
      <c r="B46" s="461"/>
      <c r="C46" s="461"/>
      <c r="D46" s="461"/>
      <c r="E46" s="461"/>
      <c r="F46" s="349"/>
      <c r="G46" s="288"/>
      <c r="H46" s="288"/>
      <c r="I46" s="288"/>
      <c r="J46" s="288"/>
    </row>
    <row r="47" spans="1:11" ht="18" customHeight="1" x14ac:dyDescent="0.25">
      <c r="A47" s="462"/>
      <c r="B47" s="461"/>
      <c r="C47" s="461"/>
      <c r="D47" s="461"/>
      <c r="E47" s="461"/>
      <c r="F47" s="350"/>
    </row>
    <row r="48" spans="1:11" ht="18" customHeight="1" x14ac:dyDescent="0.25">
      <c r="A48" s="461"/>
      <c r="B48" s="461"/>
      <c r="C48" s="461"/>
      <c r="D48" s="461"/>
      <c r="E48" s="461"/>
      <c r="F48" s="350"/>
    </row>
  </sheetData>
  <sortState xmlns:xlrd2="http://schemas.microsoft.com/office/spreadsheetml/2017/richdata2" ref="C30:F33">
    <sortCondition descending="1" ref="F30:F33"/>
  </sortState>
  <mergeCells count="9">
    <mergeCell ref="A46:E46"/>
    <mergeCell ref="A47:E47"/>
    <mergeCell ref="A48:E48"/>
    <mergeCell ref="F5:F6"/>
    <mergeCell ref="A3:E3"/>
    <mergeCell ref="A4:E4"/>
    <mergeCell ref="A5:E6"/>
    <mergeCell ref="A44:E44"/>
    <mergeCell ref="A45:E45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2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E7FD-003D-48C4-AB34-21263F370E69}">
  <sheetPr>
    <pageSetUpPr fitToPage="1"/>
  </sheetPr>
  <dimension ref="A1:U52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29</v>
      </c>
      <c r="B1" s="157"/>
      <c r="C1" s="157"/>
      <c r="D1" s="157"/>
      <c r="E1" s="157"/>
      <c r="F1" s="158" t="str">
        <f>+'USHE-GOV'!N1</f>
        <v>December 6, 2024</v>
      </c>
      <c r="G1" s="404">
        <v>320920900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10153400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7389900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2763500</v>
      </c>
    </row>
    <row r="12" spans="1:21" ht="15.75" customHeight="1" x14ac:dyDescent="0.25">
      <c r="A12" s="171"/>
      <c r="B12" s="300"/>
      <c r="C12" s="164" t="s">
        <v>141</v>
      </c>
      <c r="D12" s="364"/>
      <c r="E12" s="162"/>
      <c r="F12" s="255">
        <f>SUM(F13:F13)</f>
        <v>59600</v>
      </c>
    </row>
    <row r="13" spans="1:21" ht="15.75" customHeight="1" x14ac:dyDescent="0.25">
      <c r="A13" s="171"/>
      <c r="B13" s="300"/>
      <c r="C13" s="164"/>
      <c r="D13" s="365" t="s">
        <v>258</v>
      </c>
      <c r="E13" s="162"/>
      <c r="F13" s="255">
        <v>59600</v>
      </c>
    </row>
    <row r="14" spans="1:21" ht="15.75" customHeight="1" x14ac:dyDescent="0.25">
      <c r="A14" s="171"/>
      <c r="B14" s="300"/>
      <c r="C14" s="164" t="s">
        <v>205</v>
      </c>
      <c r="D14" s="364"/>
      <c r="E14" s="162"/>
      <c r="F14" s="255">
        <f>SUM(F15:G16)</f>
        <v>1956300</v>
      </c>
    </row>
    <row r="15" spans="1:21" ht="15.75" customHeight="1" x14ac:dyDescent="0.25">
      <c r="A15" s="171"/>
      <c r="B15" s="300"/>
      <c r="C15" s="164"/>
      <c r="D15" s="365" t="s">
        <v>258</v>
      </c>
      <c r="E15" s="162"/>
      <c r="F15" s="255">
        <f>1048800-59600</f>
        <v>989200</v>
      </c>
    </row>
    <row r="16" spans="1:21" s="288" customFormat="1" ht="15.75" customHeight="1" x14ac:dyDescent="0.25">
      <c r="A16" s="171"/>
      <c r="B16" s="300"/>
      <c r="C16" s="164"/>
      <c r="D16" s="365" t="s">
        <v>153</v>
      </c>
      <c r="E16" s="162"/>
      <c r="F16" s="255">
        <v>967100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customHeight="1" x14ac:dyDescent="0.25">
      <c r="A17" s="171"/>
      <c r="B17" s="300"/>
      <c r="C17" s="164" t="s">
        <v>48</v>
      </c>
      <c r="D17" s="365"/>
      <c r="E17" s="162"/>
      <c r="F17" s="262">
        <f>SUM(F18:G24)</f>
        <v>-894300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customHeight="1" x14ac:dyDescent="0.25">
      <c r="A18" s="171"/>
      <c r="B18" s="300"/>
      <c r="C18" s="164"/>
      <c r="D18" s="365" t="s">
        <v>295</v>
      </c>
      <c r="E18" s="162"/>
      <c r="F18" s="255">
        <f>-3700400-110900-619500-328500</f>
        <v>-4759300</v>
      </c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71"/>
      <c r="B19" s="300"/>
      <c r="C19" s="164"/>
      <c r="D19" s="365" t="s">
        <v>287</v>
      </c>
      <c r="E19" s="162"/>
      <c r="F19" s="255">
        <v>765000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71"/>
      <c r="B20" s="300"/>
      <c r="C20" s="164"/>
      <c r="D20" s="365" t="s">
        <v>308</v>
      </c>
      <c r="E20" s="162"/>
      <c r="F20" s="255">
        <v>2100000</v>
      </c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1" s="288" customFormat="1" ht="15.75" customHeight="1" x14ac:dyDescent="0.25">
      <c r="A21" s="171"/>
      <c r="B21" s="300"/>
      <c r="C21" s="164"/>
      <c r="D21" s="365" t="s">
        <v>327</v>
      </c>
      <c r="E21" s="162"/>
      <c r="F21" s="255">
        <v>1000000</v>
      </c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1" s="288" customFormat="1" ht="15.75" hidden="1" customHeight="1" x14ac:dyDescent="0.25">
      <c r="A22" s="171"/>
      <c r="B22" s="300"/>
      <c r="C22" s="164"/>
      <c r="D22" s="430" t="s">
        <v>270</v>
      </c>
      <c r="E22" s="162"/>
      <c r="F22" s="255">
        <v>0</v>
      </c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</row>
    <row r="23" spans="1:21" s="288" customFormat="1" ht="15.75" hidden="1" customHeight="1" x14ac:dyDescent="0.25">
      <c r="A23" s="171"/>
      <c r="B23" s="300"/>
      <c r="C23" s="164"/>
      <c r="D23" s="430" t="s">
        <v>271</v>
      </c>
      <c r="E23" s="162"/>
      <c r="F23" s="255">
        <v>0</v>
      </c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</row>
    <row r="24" spans="1:21" s="288" customFormat="1" ht="15.75" hidden="1" customHeight="1" x14ac:dyDescent="0.25">
      <c r="A24" s="171"/>
      <c r="B24" s="300"/>
      <c r="C24" s="164"/>
      <c r="D24" s="430" t="s">
        <v>281</v>
      </c>
      <c r="E24" s="162"/>
      <c r="F24" s="255">
        <v>0</v>
      </c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</row>
    <row r="25" spans="1:21" s="288" customFormat="1" ht="15.75" customHeight="1" x14ac:dyDescent="0.25">
      <c r="A25" s="182"/>
      <c r="B25" s="303"/>
      <c r="C25" s="304"/>
      <c r="D25" s="183"/>
      <c r="E25" s="185"/>
      <c r="F25" s="377"/>
      <c r="K25" s="289"/>
    </row>
    <row r="26" spans="1:21" s="288" customFormat="1" ht="15.75" customHeight="1" x14ac:dyDescent="0.25">
      <c r="A26" s="178"/>
      <c r="B26" s="179"/>
      <c r="C26" s="179"/>
      <c r="D26" s="180"/>
      <c r="E26" s="181"/>
      <c r="F26" s="378"/>
      <c r="K26" s="289"/>
    </row>
    <row r="27" spans="1:21" s="288" customFormat="1" ht="15.75" customHeight="1" x14ac:dyDescent="0.25">
      <c r="A27" s="171"/>
      <c r="B27" s="170" t="s">
        <v>321</v>
      </c>
      <c r="C27" s="170"/>
      <c r="D27" s="170"/>
      <c r="E27" s="172"/>
      <c r="F27" s="379">
        <f>+F14+F12+F17+F9</f>
        <v>11275000</v>
      </c>
      <c r="K27" s="289"/>
    </row>
    <row r="28" spans="1:21" ht="15.75" customHeight="1" x14ac:dyDescent="0.25">
      <c r="A28" s="171"/>
      <c r="B28" s="170"/>
      <c r="C28" s="251" t="s">
        <v>177</v>
      </c>
      <c r="D28" s="170"/>
      <c r="E28" s="172"/>
      <c r="F28" s="380">
        <f>+F27/$G$1</f>
        <v>3.5133268042062703E-2</v>
      </c>
    </row>
    <row r="29" spans="1:21" ht="15.75" customHeight="1" x14ac:dyDescent="0.25">
      <c r="A29" s="182"/>
      <c r="B29" s="183"/>
      <c r="C29" s="183"/>
      <c r="D29" s="183"/>
      <c r="E29" s="185"/>
      <c r="F29" s="381"/>
    </row>
    <row r="30" spans="1:21" s="300" customFormat="1" ht="15.75" customHeight="1" x14ac:dyDescent="0.25">
      <c r="A30" s="178"/>
      <c r="B30" s="186"/>
      <c r="C30" s="186"/>
      <c r="D30" s="186"/>
      <c r="E30" s="188"/>
      <c r="F30" s="382"/>
      <c r="G30" s="371"/>
      <c r="H30" s="371"/>
      <c r="I30" s="371"/>
      <c r="J30" s="371"/>
    </row>
    <row r="31" spans="1:21" ht="15.75" customHeight="1" x14ac:dyDescent="0.25">
      <c r="A31" s="171"/>
      <c r="B31" s="163" t="s">
        <v>100</v>
      </c>
      <c r="C31" s="300"/>
      <c r="D31" s="251"/>
      <c r="E31" s="162"/>
      <c r="F31" s="383"/>
    </row>
    <row r="32" spans="1:21" s="309" customFormat="1" ht="15.75" customHeight="1" x14ac:dyDescent="0.25">
      <c r="A32" s="160"/>
      <c r="B32" s="251"/>
      <c r="C32" s="365" t="s">
        <v>295</v>
      </c>
      <c r="D32" s="166"/>
      <c r="E32" s="162"/>
      <c r="F32" s="255">
        <v>4759300</v>
      </c>
      <c r="G32" s="288"/>
      <c r="H32" s="288"/>
      <c r="I32" s="288"/>
      <c r="J32" s="288"/>
    </row>
    <row r="33" spans="1:11" s="309" customFormat="1" ht="15.75" customHeight="1" x14ac:dyDescent="0.25">
      <c r="A33" s="160"/>
      <c r="B33" s="251"/>
      <c r="C33" s="365" t="s">
        <v>288</v>
      </c>
      <c r="D33" s="166"/>
      <c r="E33" s="162"/>
      <c r="F33" s="255">
        <v>884000</v>
      </c>
      <c r="G33" s="288"/>
      <c r="H33" s="288"/>
      <c r="I33" s="288"/>
      <c r="J33" s="288"/>
    </row>
    <row r="34" spans="1:11" s="309" customFormat="1" ht="15.75" customHeight="1" x14ac:dyDescent="0.25">
      <c r="A34" s="160"/>
      <c r="B34" s="251"/>
      <c r="C34" s="365" t="s">
        <v>322</v>
      </c>
      <c r="D34" s="166"/>
      <c r="E34" s="162"/>
      <c r="F34" s="255">
        <v>460500</v>
      </c>
      <c r="G34" s="288"/>
      <c r="H34" s="288"/>
      <c r="I34" s="288"/>
      <c r="J34" s="288"/>
    </row>
    <row r="35" spans="1:11" s="309" customFormat="1" ht="15.75" customHeight="1" x14ac:dyDescent="0.25">
      <c r="A35" s="160"/>
      <c r="B35" s="251"/>
      <c r="C35" s="365" t="s">
        <v>308</v>
      </c>
      <c r="D35" s="166"/>
      <c r="E35" s="162"/>
      <c r="F35" s="255">
        <v>450000</v>
      </c>
      <c r="G35" s="288"/>
      <c r="H35" s="288"/>
      <c r="I35" s="288"/>
      <c r="J35" s="288"/>
    </row>
    <row r="36" spans="1:11" s="309" customFormat="1" ht="15.75" customHeight="1" x14ac:dyDescent="0.25">
      <c r="A36" s="160"/>
      <c r="B36" s="251"/>
      <c r="C36" s="365" t="s">
        <v>287</v>
      </c>
      <c r="D36" s="166"/>
      <c r="E36" s="162"/>
      <c r="F36" s="255">
        <v>55000</v>
      </c>
      <c r="G36" s="288"/>
      <c r="H36" s="288"/>
      <c r="I36" s="288"/>
      <c r="J36" s="288"/>
    </row>
    <row r="37" spans="1:11" s="309" customFormat="1" ht="15.75" customHeight="1" x14ac:dyDescent="0.25">
      <c r="A37" s="160"/>
      <c r="B37" s="251"/>
      <c r="C37" s="365" t="s">
        <v>259</v>
      </c>
      <c r="D37" s="166"/>
      <c r="E37" s="162"/>
      <c r="F37" s="255">
        <f>-295100-4900-89300</f>
        <v>-389300</v>
      </c>
      <c r="G37" s="288"/>
      <c r="H37" s="288"/>
      <c r="I37" s="288"/>
      <c r="J37" s="288"/>
    </row>
    <row r="38" spans="1:11" s="320" customFormat="1" ht="15.75" customHeight="1" x14ac:dyDescent="0.25">
      <c r="A38" s="310"/>
      <c r="B38" s="311"/>
      <c r="C38" s="312"/>
      <c r="D38" s="313"/>
      <c r="E38" s="314"/>
      <c r="F38" s="384"/>
    </row>
    <row r="39" spans="1:11" s="320" customFormat="1" ht="15.75" customHeight="1" x14ac:dyDescent="0.25">
      <c r="A39" s="321"/>
      <c r="B39" s="322"/>
      <c r="C39" s="323"/>
      <c r="D39" s="324"/>
      <c r="E39" s="339"/>
      <c r="F39" s="248"/>
      <c r="K39" s="332"/>
    </row>
    <row r="40" spans="1:11" s="320" customFormat="1" ht="15.75" customHeight="1" x14ac:dyDescent="0.25">
      <c r="A40" s="321"/>
      <c r="B40" s="333" t="s">
        <v>211</v>
      </c>
      <c r="C40" s="333"/>
      <c r="D40" s="333"/>
      <c r="E40" s="334"/>
      <c r="F40" s="385">
        <f>SUM(F32:G37)</f>
        <v>6219500</v>
      </c>
      <c r="K40" s="332"/>
    </row>
    <row r="41" spans="1:11" s="320" customFormat="1" ht="15.75" customHeight="1" x14ac:dyDescent="0.25">
      <c r="A41" s="321"/>
      <c r="B41" s="333"/>
      <c r="C41" s="322" t="s">
        <v>177</v>
      </c>
      <c r="D41" s="333"/>
      <c r="E41" s="334"/>
      <c r="F41" s="380">
        <f>+F40/G1</f>
        <v>1.9380165018856671E-2</v>
      </c>
      <c r="K41" s="332"/>
    </row>
    <row r="42" spans="1:11" s="320" customFormat="1" ht="15.75" customHeight="1" x14ac:dyDescent="0.25">
      <c r="A42" s="335"/>
      <c r="B42" s="311"/>
      <c r="C42" s="311"/>
      <c r="D42" s="311"/>
      <c r="E42" s="314"/>
      <c r="F42" s="386"/>
      <c r="K42" s="332"/>
    </row>
    <row r="43" spans="1:11" s="320" customFormat="1" ht="15.75" customHeight="1" x14ac:dyDescent="0.25">
      <c r="A43" s="387"/>
      <c r="B43" s="338"/>
      <c r="C43" s="338"/>
      <c r="D43" s="338"/>
      <c r="E43" s="338"/>
      <c r="F43" s="388"/>
      <c r="K43" s="332"/>
    </row>
    <row r="44" spans="1:11" s="341" customFormat="1" ht="15.75" customHeight="1" x14ac:dyDescent="0.3">
      <c r="A44" s="273" t="s">
        <v>320</v>
      </c>
      <c r="B44" s="189"/>
      <c r="C44" s="189"/>
      <c r="D44" s="189"/>
      <c r="E44" s="189"/>
      <c r="F44" s="274">
        <f>+F27+F40</f>
        <v>17494500</v>
      </c>
      <c r="G44" s="299"/>
      <c r="H44" s="299"/>
      <c r="I44" s="299"/>
      <c r="J44" s="299"/>
    </row>
    <row r="45" spans="1:11" s="341" customFormat="1" ht="15.75" customHeight="1" x14ac:dyDescent="0.25">
      <c r="A45" s="273"/>
      <c r="B45" s="189"/>
      <c r="C45" s="216" t="s">
        <v>177</v>
      </c>
      <c r="D45" s="217"/>
      <c r="E45" s="217"/>
      <c r="F45" s="389">
        <f>+F44/G1</f>
        <v>5.4513433060919374E-2</v>
      </c>
      <c r="G45" s="299"/>
      <c r="H45" s="299"/>
      <c r="I45" s="299"/>
      <c r="J45" s="299"/>
    </row>
    <row r="46" spans="1:11" s="346" customFormat="1" ht="15.75" customHeight="1" x14ac:dyDescent="0.25">
      <c r="A46" s="343"/>
      <c r="B46" s="344"/>
      <c r="C46" s="344"/>
      <c r="D46" s="344"/>
      <c r="E46" s="344"/>
      <c r="F46" s="345"/>
      <c r="G46" s="288"/>
      <c r="H46" s="288"/>
      <c r="I46" s="288"/>
      <c r="J46" s="288"/>
    </row>
    <row r="47" spans="1:11" s="346" customFormat="1" ht="15.75" customHeight="1" x14ac:dyDescent="0.25">
      <c r="A47" s="347"/>
      <c r="B47" s="347"/>
      <c r="C47" s="347"/>
      <c r="D47" s="347"/>
      <c r="E47" s="347"/>
      <c r="G47" s="288"/>
      <c r="H47" s="288"/>
      <c r="I47" s="288"/>
      <c r="J47" s="288"/>
    </row>
    <row r="48" spans="1:11" s="346" customFormat="1" ht="18" customHeight="1" x14ac:dyDescent="0.3">
      <c r="A48" s="459"/>
      <c r="B48" s="459"/>
      <c r="C48" s="459"/>
      <c r="D48" s="459"/>
      <c r="E48" s="459"/>
      <c r="F48" s="370"/>
      <c r="G48" s="288"/>
      <c r="H48" s="288"/>
      <c r="I48" s="288"/>
      <c r="J48" s="288"/>
    </row>
    <row r="49" spans="1:10" s="346" customFormat="1" ht="18" customHeight="1" x14ac:dyDescent="0.25">
      <c r="A49" s="461"/>
      <c r="B49" s="461"/>
      <c r="C49" s="461"/>
      <c r="D49" s="461"/>
      <c r="E49" s="461"/>
      <c r="F49" s="349"/>
      <c r="G49" s="288"/>
      <c r="H49" s="288"/>
      <c r="I49" s="288"/>
      <c r="J49" s="288"/>
    </row>
    <row r="50" spans="1:10" s="346" customFormat="1" ht="18" customHeight="1" x14ac:dyDescent="0.25">
      <c r="A50" s="461"/>
      <c r="B50" s="461"/>
      <c r="C50" s="461"/>
      <c r="D50" s="461"/>
      <c r="E50" s="461"/>
      <c r="F50" s="349"/>
      <c r="G50" s="288"/>
      <c r="H50" s="288"/>
      <c r="I50" s="288"/>
      <c r="J50" s="288"/>
    </row>
    <row r="51" spans="1:10" ht="18" customHeight="1" x14ac:dyDescent="0.25">
      <c r="A51" s="462"/>
      <c r="B51" s="461"/>
      <c r="C51" s="461"/>
      <c r="D51" s="461"/>
      <c r="E51" s="461"/>
      <c r="F51" s="350"/>
    </row>
    <row r="52" spans="1:10" ht="18" customHeight="1" x14ac:dyDescent="0.25">
      <c r="A52" s="461"/>
      <c r="B52" s="461"/>
      <c r="C52" s="461"/>
      <c r="D52" s="461"/>
      <c r="E52" s="461"/>
      <c r="F52" s="350"/>
    </row>
  </sheetData>
  <sortState xmlns:xlrd2="http://schemas.microsoft.com/office/spreadsheetml/2017/richdata2" ref="C32:F37">
    <sortCondition descending="1" ref="F32:F37"/>
  </sortState>
  <mergeCells count="9">
    <mergeCell ref="A52:E52"/>
    <mergeCell ref="A3:E3"/>
    <mergeCell ref="A4:E4"/>
    <mergeCell ref="A5:E6"/>
    <mergeCell ref="F5:F6"/>
    <mergeCell ref="A48:E48"/>
    <mergeCell ref="A49:E49"/>
    <mergeCell ref="A50:E50"/>
    <mergeCell ref="A51:E51"/>
  </mergeCells>
  <printOptions horizontalCentered="1"/>
  <pageMargins left="0.5" right="0.5" top="0.7" bottom="0.5" header="0.5" footer="0.25"/>
  <pageSetup scale="95"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29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B5A2-0206-415B-9DE0-8EADD5C01C9B}">
  <sheetPr>
    <pageSetUpPr fitToPage="1"/>
  </sheetPr>
  <dimension ref="A1:U45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30</v>
      </c>
      <c r="B1" s="157"/>
      <c r="C1" s="157"/>
      <c r="D1" s="157"/>
      <c r="E1" s="157"/>
      <c r="F1" s="158" t="str">
        <f>+'USHE-GOV'!N1</f>
        <v>December 6, 2024</v>
      </c>
      <c r="G1" s="404">
        <v>130805000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4472800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3295500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1177300</v>
      </c>
    </row>
    <row r="12" spans="1:21" ht="15.75" customHeight="1" x14ac:dyDescent="0.25">
      <c r="A12" s="171"/>
      <c r="B12" s="300"/>
      <c r="C12" s="164" t="s">
        <v>205</v>
      </c>
      <c r="D12" s="364"/>
      <c r="E12" s="162"/>
      <c r="F12" s="255">
        <f>SUM(F13:F14)</f>
        <v>1292900</v>
      </c>
    </row>
    <row r="13" spans="1:21" ht="15.75" customHeight="1" x14ac:dyDescent="0.25">
      <c r="A13" s="171"/>
      <c r="B13" s="300"/>
      <c r="C13" s="164"/>
      <c r="D13" s="365" t="s">
        <v>258</v>
      </c>
      <c r="E13" s="162"/>
      <c r="F13" s="255">
        <v>968900</v>
      </c>
    </row>
    <row r="14" spans="1:21" s="288" customFormat="1" ht="15.75" customHeight="1" x14ac:dyDescent="0.25">
      <c r="A14" s="171"/>
      <c r="B14" s="300"/>
      <c r="C14" s="164"/>
      <c r="D14" s="365" t="s">
        <v>153</v>
      </c>
      <c r="E14" s="162"/>
      <c r="F14" s="255">
        <v>324000</v>
      </c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</row>
    <row r="15" spans="1:21" s="288" customFormat="1" ht="15.75" customHeight="1" x14ac:dyDescent="0.25">
      <c r="A15" s="171"/>
      <c r="B15" s="300"/>
      <c r="C15" s="164" t="s">
        <v>48</v>
      </c>
      <c r="D15" s="365"/>
      <c r="E15" s="162"/>
      <c r="F15" s="262">
        <f>SUM(F16:F18)</f>
        <v>-1936900</v>
      </c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customHeight="1" x14ac:dyDescent="0.25">
      <c r="A16" s="171"/>
      <c r="B16" s="300"/>
      <c r="C16" s="164"/>
      <c r="D16" s="365" t="s">
        <v>295</v>
      </c>
      <c r="E16" s="162"/>
      <c r="F16" s="255">
        <f>-1913100-23800</f>
        <v>-1936900</v>
      </c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hidden="1" customHeight="1" x14ac:dyDescent="0.25">
      <c r="A17" s="171"/>
      <c r="B17" s="300"/>
      <c r="C17" s="164"/>
      <c r="E17" s="162"/>
      <c r="F17" s="255">
        <v>0</v>
      </c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E18" s="162"/>
      <c r="F18" s="255">
        <v>0</v>
      </c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82"/>
      <c r="B19" s="303"/>
      <c r="C19" s="304"/>
      <c r="D19" s="183"/>
      <c r="E19" s="185"/>
      <c r="F19" s="377"/>
      <c r="K19" s="289"/>
    </row>
    <row r="20" spans="1:21" s="288" customFormat="1" ht="15.75" customHeight="1" x14ac:dyDescent="0.25">
      <c r="A20" s="178"/>
      <c r="B20" s="179"/>
      <c r="C20" s="179"/>
      <c r="D20" s="180"/>
      <c r="E20" s="181"/>
      <c r="F20" s="378"/>
      <c r="K20" s="289"/>
    </row>
    <row r="21" spans="1:21" s="288" customFormat="1" ht="15.75" customHeight="1" x14ac:dyDescent="0.25">
      <c r="A21" s="171"/>
      <c r="B21" s="170" t="s">
        <v>321</v>
      </c>
      <c r="C21" s="170"/>
      <c r="D21" s="170"/>
      <c r="E21" s="172"/>
      <c r="F21" s="379">
        <f>+F12+F15+F9</f>
        <v>3828800</v>
      </c>
      <c r="K21" s="289"/>
    </row>
    <row r="22" spans="1:21" ht="15.75" customHeight="1" x14ac:dyDescent="0.25">
      <c r="A22" s="171"/>
      <c r="B22" s="170"/>
      <c r="C22" s="251" t="s">
        <v>177</v>
      </c>
      <c r="D22" s="170"/>
      <c r="E22" s="172"/>
      <c r="F22" s="380">
        <f>+F21/$G$1</f>
        <v>2.9271052329803905E-2</v>
      </c>
    </row>
    <row r="23" spans="1:21" ht="15.75" customHeight="1" x14ac:dyDescent="0.25">
      <c r="A23" s="182"/>
      <c r="B23" s="183"/>
      <c r="C23" s="183"/>
      <c r="D23" s="183"/>
      <c r="E23" s="185"/>
      <c r="F23" s="381"/>
    </row>
    <row r="24" spans="1:21" s="300" customFormat="1" ht="15.75" customHeight="1" x14ac:dyDescent="0.25">
      <c r="A24" s="178"/>
      <c r="B24" s="186"/>
      <c r="C24" s="186"/>
      <c r="D24" s="186"/>
      <c r="E24" s="188"/>
      <c r="F24" s="382"/>
      <c r="G24" s="371"/>
      <c r="H24" s="371"/>
      <c r="I24" s="371"/>
      <c r="J24" s="371"/>
    </row>
    <row r="25" spans="1:21" ht="15.75" customHeight="1" x14ac:dyDescent="0.25">
      <c r="A25" s="171"/>
      <c r="B25" s="163" t="s">
        <v>100</v>
      </c>
      <c r="C25" s="300"/>
      <c r="D25" s="251"/>
      <c r="E25" s="162"/>
      <c r="F25" s="383"/>
    </row>
    <row r="26" spans="1:21" s="309" customFormat="1" ht="15.75" customHeight="1" x14ac:dyDescent="0.25">
      <c r="A26" s="160"/>
      <c r="B26" s="251"/>
      <c r="C26" s="365" t="s">
        <v>295</v>
      </c>
      <c r="D26" s="166"/>
      <c r="E26" s="162"/>
      <c r="F26" s="255">
        <v>1936900</v>
      </c>
      <c r="G26" s="288"/>
      <c r="H26" s="288"/>
      <c r="I26" s="288"/>
      <c r="J26" s="288"/>
    </row>
    <row r="27" spans="1:21" s="309" customFormat="1" ht="15.75" customHeight="1" x14ac:dyDescent="0.25">
      <c r="A27" s="160"/>
      <c r="B27" s="251"/>
      <c r="C27" s="365" t="s">
        <v>289</v>
      </c>
      <c r="D27" s="166"/>
      <c r="E27" s="162"/>
      <c r="F27" s="255">
        <v>1450000</v>
      </c>
      <c r="G27" s="288"/>
      <c r="H27" s="288"/>
      <c r="I27" s="288"/>
      <c r="J27" s="288"/>
    </row>
    <row r="28" spans="1:21" s="309" customFormat="1" ht="15.75" customHeight="1" x14ac:dyDescent="0.25">
      <c r="A28" s="160"/>
      <c r="B28" s="251"/>
      <c r="C28" s="365" t="s">
        <v>322</v>
      </c>
      <c r="D28" s="166"/>
      <c r="E28" s="162"/>
      <c r="F28" s="255">
        <v>209300</v>
      </c>
      <c r="G28" s="288"/>
      <c r="H28" s="288"/>
      <c r="I28" s="288"/>
      <c r="J28" s="288"/>
    </row>
    <row r="29" spans="1:21" s="412" customFormat="1" ht="15.75" customHeight="1" x14ac:dyDescent="0.25">
      <c r="A29" s="160"/>
      <c r="B29" s="251"/>
      <c r="C29" s="365" t="s">
        <v>259</v>
      </c>
      <c r="D29" s="166"/>
      <c r="E29" s="162"/>
      <c r="F29" s="255">
        <f>-85600-283100</f>
        <v>-368700</v>
      </c>
      <c r="G29" s="352"/>
      <c r="H29" s="352"/>
      <c r="I29" s="352"/>
      <c r="J29" s="352"/>
    </row>
    <row r="30" spans="1:21" s="309" customFormat="1" ht="15.75" hidden="1" customHeight="1" x14ac:dyDescent="0.25">
      <c r="A30" s="160"/>
      <c r="B30" s="251"/>
      <c r="C30" s="430" t="s">
        <v>258</v>
      </c>
      <c r="D30" s="166"/>
      <c r="E30" s="162"/>
      <c r="F30" s="255"/>
      <c r="G30" s="288"/>
      <c r="H30" s="288"/>
      <c r="I30" s="288"/>
      <c r="J30" s="288"/>
    </row>
    <row r="31" spans="1:21" s="320" customFormat="1" ht="15.75" customHeight="1" x14ac:dyDescent="0.25">
      <c r="A31" s="310"/>
      <c r="B31" s="311"/>
      <c r="C31" s="312"/>
      <c r="D31" s="313"/>
      <c r="E31" s="314"/>
      <c r="F31" s="384"/>
    </row>
    <row r="32" spans="1:21" s="320" customFormat="1" ht="15.75" customHeight="1" x14ac:dyDescent="0.25">
      <c r="A32" s="321"/>
      <c r="B32" s="322"/>
      <c r="C32" s="323"/>
      <c r="D32" s="324"/>
      <c r="E32" s="339"/>
      <c r="F32" s="248"/>
      <c r="K32" s="332"/>
    </row>
    <row r="33" spans="1:11" s="320" customFormat="1" ht="15.75" customHeight="1" x14ac:dyDescent="0.25">
      <c r="A33" s="321"/>
      <c r="B33" s="333" t="s">
        <v>211</v>
      </c>
      <c r="C33" s="333"/>
      <c r="D33" s="333"/>
      <c r="E33" s="334"/>
      <c r="F33" s="385">
        <f>SUM(F26:F30)</f>
        <v>3227500</v>
      </c>
      <c r="K33" s="332"/>
    </row>
    <row r="34" spans="1:11" s="320" customFormat="1" ht="15.75" customHeight="1" x14ac:dyDescent="0.25">
      <c r="A34" s="321"/>
      <c r="B34" s="333"/>
      <c r="C34" s="322" t="s">
        <v>177</v>
      </c>
      <c r="D34" s="333"/>
      <c r="E34" s="334"/>
      <c r="F34" s="380">
        <f>+F33/G1</f>
        <v>2.4674133251787012E-2</v>
      </c>
      <c r="K34" s="332"/>
    </row>
    <row r="35" spans="1:11" s="320" customFormat="1" ht="15.75" customHeight="1" x14ac:dyDescent="0.25">
      <c r="A35" s="335"/>
      <c r="B35" s="311"/>
      <c r="C35" s="311"/>
      <c r="D35" s="311"/>
      <c r="E35" s="314"/>
      <c r="F35" s="386"/>
      <c r="K35" s="332"/>
    </row>
    <row r="36" spans="1:11" s="320" customFormat="1" ht="15.75" customHeight="1" x14ac:dyDescent="0.25">
      <c r="A36" s="387"/>
      <c r="B36" s="338"/>
      <c r="C36" s="338"/>
      <c r="D36" s="338"/>
      <c r="E36" s="338"/>
      <c r="F36" s="388"/>
      <c r="K36" s="332"/>
    </row>
    <row r="37" spans="1:11" s="341" customFormat="1" ht="15.75" customHeight="1" x14ac:dyDescent="0.3">
      <c r="A37" s="273" t="s">
        <v>320</v>
      </c>
      <c r="B37" s="189"/>
      <c r="C37" s="189"/>
      <c r="D37" s="189"/>
      <c r="E37" s="189"/>
      <c r="F37" s="274">
        <f>+F21+F33</f>
        <v>7056300</v>
      </c>
      <c r="G37" s="299"/>
      <c r="H37" s="299"/>
      <c r="I37" s="299"/>
      <c r="J37" s="299"/>
    </row>
    <row r="38" spans="1:11" s="341" customFormat="1" ht="15.75" customHeight="1" x14ac:dyDescent="0.25">
      <c r="A38" s="273"/>
      <c r="B38" s="189"/>
      <c r="C38" s="216" t="s">
        <v>177</v>
      </c>
      <c r="D38" s="217"/>
      <c r="E38" s="217"/>
      <c r="F38" s="389">
        <f>+F37/G1</f>
        <v>5.3945185581590921E-2</v>
      </c>
      <c r="G38" s="299"/>
      <c r="H38" s="299"/>
      <c r="I38" s="299"/>
      <c r="J38" s="299"/>
    </row>
    <row r="39" spans="1:11" s="346" customFormat="1" ht="15.75" customHeight="1" x14ac:dyDescent="0.25">
      <c r="A39" s="343"/>
      <c r="B39" s="344"/>
      <c r="C39" s="344"/>
      <c r="D39" s="344"/>
      <c r="E39" s="344"/>
      <c r="F39" s="345"/>
      <c r="G39" s="288"/>
      <c r="H39" s="288"/>
      <c r="I39" s="288"/>
      <c r="J39" s="288"/>
    </row>
    <row r="40" spans="1:11" s="346" customFormat="1" ht="15.75" customHeight="1" x14ac:dyDescent="0.25">
      <c r="A40" s="347"/>
      <c r="B40" s="347"/>
      <c r="C40" s="347"/>
      <c r="D40" s="347"/>
      <c r="E40" s="347"/>
      <c r="G40" s="288"/>
      <c r="H40" s="288"/>
      <c r="I40" s="288"/>
      <c r="J40" s="288"/>
    </row>
    <row r="41" spans="1:11" s="346" customFormat="1" ht="18" customHeight="1" x14ac:dyDescent="0.3">
      <c r="A41" s="459"/>
      <c r="B41" s="459"/>
      <c r="C41" s="459"/>
      <c r="D41" s="459"/>
      <c r="E41" s="459"/>
      <c r="F41" s="370"/>
      <c r="G41" s="288"/>
      <c r="H41" s="288"/>
      <c r="I41" s="288"/>
      <c r="J41" s="288"/>
    </row>
    <row r="42" spans="1:11" s="346" customFormat="1" ht="18" customHeight="1" x14ac:dyDescent="0.25">
      <c r="A42" s="461"/>
      <c r="B42" s="461"/>
      <c r="C42" s="461"/>
      <c r="D42" s="461"/>
      <c r="E42" s="461"/>
      <c r="F42" s="349"/>
      <c r="G42" s="288"/>
      <c r="H42" s="288"/>
      <c r="I42" s="288"/>
      <c r="J42" s="288"/>
    </row>
    <row r="43" spans="1:11" s="346" customFormat="1" ht="18" customHeight="1" x14ac:dyDescent="0.25">
      <c r="A43" s="461"/>
      <c r="B43" s="461"/>
      <c r="C43" s="461"/>
      <c r="D43" s="461"/>
      <c r="E43" s="461"/>
      <c r="F43" s="349"/>
      <c r="G43" s="288"/>
      <c r="H43" s="288"/>
      <c r="I43" s="288"/>
      <c r="J43" s="288"/>
    </row>
    <row r="44" spans="1:11" ht="18" customHeight="1" x14ac:dyDescent="0.25">
      <c r="A44" s="462"/>
      <c r="B44" s="461"/>
      <c r="C44" s="461"/>
      <c r="D44" s="461"/>
      <c r="E44" s="461"/>
      <c r="F44" s="350"/>
    </row>
    <row r="45" spans="1:11" ht="18" customHeight="1" x14ac:dyDescent="0.25">
      <c r="A45" s="461"/>
      <c r="B45" s="461"/>
      <c r="C45" s="461"/>
      <c r="D45" s="461"/>
      <c r="E45" s="461"/>
      <c r="F45" s="350"/>
    </row>
  </sheetData>
  <sortState xmlns:xlrd2="http://schemas.microsoft.com/office/spreadsheetml/2017/richdata2" ref="C26:F29">
    <sortCondition descending="1" ref="F26:F29"/>
  </sortState>
  <mergeCells count="9">
    <mergeCell ref="A45:E45"/>
    <mergeCell ref="A3:E3"/>
    <mergeCell ref="A4:E4"/>
    <mergeCell ref="A5:E6"/>
    <mergeCell ref="F5:F6"/>
    <mergeCell ref="A41:E41"/>
    <mergeCell ref="A42:E42"/>
    <mergeCell ref="A43:E43"/>
    <mergeCell ref="A44:E44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23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32D5-EF60-4931-8647-66E6AAAAF668}">
  <sheetPr>
    <pageSetUpPr fitToPage="1"/>
  </sheetPr>
  <dimension ref="A1:U50"/>
  <sheetViews>
    <sheetView view="pageBreakPreview" zoomScaleNormal="100" zoomScaleSheetLayoutView="100" workbookViewId="0">
      <selection activeCell="AU11" sqref="AU11"/>
    </sheetView>
  </sheetViews>
  <sheetFormatPr defaultColWidth="8.28515625" defaultRowHeight="15" x14ac:dyDescent="0.25"/>
  <cols>
    <col min="1" max="1" width="2.42578125" style="289" customWidth="1"/>
    <col min="2" max="2" width="3.5703125" style="289" customWidth="1"/>
    <col min="3" max="3" width="4.5703125" style="289" customWidth="1"/>
    <col min="4" max="4" width="8.28515625" style="289"/>
    <col min="5" max="5" width="62.28515625" style="289" customWidth="1"/>
    <col min="6" max="6" width="12.85546875" style="289" customWidth="1"/>
    <col min="7" max="7" width="14.5703125" style="288" hidden="1" customWidth="1"/>
    <col min="8" max="9" width="15.42578125" style="288" customWidth="1"/>
    <col min="10" max="10" width="13" style="288" customWidth="1"/>
    <col min="11" max="11" width="10.28515625" style="289" bestFit="1" customWidth="1"/>
    <col min="12" max="16384" width="8.28515625" style="289"/>
  </cols>
  <sheetData>
    <row r="1" spans="1:21" ht="19.5" customHeight="1" thickBot="1" x14ac:dyDescent="0.3">
      <c r="A1" s="37" t="s">
        <v>31</v>
      </c>
      <c r="B1" s="157"/>
      <c r="C1" s="157"/>
      <c r="D1" s="157"/>
      <c r="E1" s="157"/>
      <c r="F1" s="158" t="str">
        <f>+'USHE-GOV'!N1</f>
        <v>December 6, 2024</v>
      </c>
      <c r="G1" s="404">
        <v>73337800</v>
      </c>
      <c r="H1" s="354"/>
      <c r="K1" s="352"/>
    </row>
    <row r="2" spans="1:21" ht="30.75" customHeight="1" x14ac:dyDescent="0.35">
      <c r="A2" s="221" t="s">
        <v>298</v>
      </c>
      <c r="B2" s="159"/>
      <c r="C2" s="159"/>
      <c r="D2" s="159"/>
      <c r="E2" s="159"/>
      <c r="F2" s="250"/>
      <c r="I2" s="290"/>
    </row>
    <row r="3" spans="1:21" ht="15.75" x14ac:dyDescent="0.25">
      <c r="A3" s="463" t="s">
        <v>214</v>
      </c>
      <c r="B3" s="463"/>
      <c r="C3" s="463"/>
      <c r="D3" s="463"/>
      <c r="E3" s="463"/>
      <c r="F3" s="373"/>
    </row>
    <row r="4" spans="1:21" ht="15.75" x14ac:dyDescent="0.25">
      <c r="A4" s="486"/>
      <c r="B4" s="486"/>
      <c r="C4" s="486"/>
      <c r="D4" s="486"/>
      <c r="E4" s="486"/>
      <c r="F4" s="374"/>
    </row>
    <row r="5" spans="1:21" ht="15.75" customHeight="1" x14ac:dyDescent="0.25">
      <c r="A5" s="465" t="s">
        <v>202</v>
      </c>
      <c r="B5" s="466"/>
      <c r="C5" s="466"/>
      <c r="D5" s="466"/>
      <c r="E5" s="467"/>
      <c r="F5" s="485" t="s">
        <v>5</v>
      </c>
    </row>
    <row r="6" spans="1:21" x14ac:dyDescent="0.25">
      <c r="A6" s="468"/>
      <c r="B6" s="469"/>
      <c r="C6" s="469"/>
      <c r="D6" s="469"/>
      <c r="E6" s="470"/>
      <c r="F6" s="485"/>
      <c r="K6" s="291"/>
    </row>
    <row r="7" spans="1:21" ht="15.75" customHeight="1" x14ac:dyDescent="0.35">
      <c r="A7" s="219"/>
      <c r="B7" s="292"/>
      <c r="C7" s="292"/>
      <c r="D7" s="292"/>
      <c r="E7" s="293"/>
      <c r="F7" s="375"/>
    </row>
    <row r="8" spans="1:21" ht="15.75" customHeight="1" x14ac:dyDescent="0.25">
      <c r="A8" s="298"/>
      <c r="B8" s="170" t="s">
        <v>180</v>
      </c>
      <c r="C8" s="251"/>
      <c r="D8" s="251"/>
      <c r="E8" s="162"/>
      <c r="F8" s="162"/>
      <c r="I8" s="299"/>
    </row>
    <row r="9" spans="1:21" ht="15.75" customHeight="1" x14ac:dyDescent="0.25">
      <c r="A9" s="171"/>
      <c r="B9" s="300"/>
      <c r="C9" s="164" t="s">
        <v>7</v>
      </c>
      <c r="D9" s="164"/>
      <c r="E9" s="162"/>
      <c r="F9" s="262">
        <f>SUM(F10:F11)</f>
        <v>2837500</v>
      </c>
      <c r="G9" s="363"/>
    </row>
    <row r="10" spans="1:21" ht="15.75" customHeight="1" x14ac:dyDescent="0.25">
      <c r="A10" s="171"/>
      <c r="B10" s="300"/>
      <c r="C10" s="164"/>
      <c r="D10" s="166" t="s">
        <v>317</v>
      </c>
      <c r="E10" s="162"/>
      <c r="F10" s="376">
        <v>2166600</v>
      </c>
    </row>
    <row r="11" spans="1:21" ht="15.75" customHeight="1" x14ac:dyDescent="0.25">
      <c r="A11" s="171"/>
      <c r="B11" s="300"/>
      <c r="C11" s="164"/>
      <c r="D11" s="166" t="s">
        <v>318</v>
      </c>
      <c r="E11" s="162"/>
      <c r="F11" s="255">
        <v>670900</v>
      </c>
    </row>
    <row r="12" spans="1:21" ht="15.75" customHeight="1" x14ac:dyDescent="0.25">
      <c r="A12" s="171"/>
      <c r="B12" s="300"/>
      <c r="C12" s="164" t="s">
        <v>205</v>
      </c>
      <c r="D12" s="364"/>
      <c r="E12" s="162"/>
      <c r="F12" s="255">
        <f>SUM(F13:G18)</f>
        <v>1772500</v>
      </c>
    </row>
    <row r="13" spans="1:21" s="288" customFormat="1" ht="15.75" customHeight="1" x14ac:dyDescent="0.25">
      <c r="A13" s="171"/>
      <c r="B13" s="300"/>
      <c r="C13" s="164"/>
      <c r="D13" s="365" t="s">
        <v>258</v>
      </c>
      <c r="E13" s="162"/>
      <c r="F13" s="255">
        <v>699600</v>
      </c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</row>
    <row r="14" spans="1:21" s="288" customFormat="1" ht="15.75" customHeight="1" x14ac:dyDescent="0.25">
      <c r="A14" s="171"/>
      <c r="B14" s="300"/>
      <c r="C14" s="164"/>
      <c r="D14" s="365" t="s">
        <v>153</v>
      </c>
      <c r="E14" s="162"/>
      <c r="F14" s="255">
        <v>1072900</v>
      </c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</row>
    <row r="15" spans="1:21" s="288" customFormat="1" ht="15.75" hidden="1" customHeight="1" x14ac:dyDescent="0.25">
      <c r="A15" s="171"/>
      <c r="B15" s="300"/>
      <c r="C15" s="164"/>
      <c r="D15" s="430" t="s">
        <v>255</v>
      </c>
      <c r="E15" s="162"/>
      <c r="F15" s="255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s="288" customFormat="1" ht="15.75" hidden="1" customHeight="1" x14ac:dyDescent="0.25">
      <c r="A16" s="171"/>
      <c r="B16" s="300"/>
      <c r="C16" s="164"/>
      <c r="D16" s="430" t="s">
        <v>257</v>
      </c>
      <c r="E16" s="162"/>
      <c r="F16" s="255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s="288" customFormat="1" ht="15.75" hidden="1" customHeight="1" x14ac:dyDescent="0.25">
      <c r="A17" s="171"/>
      <c r="B17" s="300"/>
      <c r="C17" s="164"/>
      <c r="D17" s="430" t="s">
        <v>201</v>
      </c>
      <c r="E17" s="162"/>
      <c r="F17" s="255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1" s="288" customFormat="1" ht="15.75" hidden="1" customHeight="1" x14ac:dyDescent="0.25">
      <c r="A18" s="171"/>
      <c r="B18" s="300"/>
      <c r="C18" s="164"/>
      <c r="D18" s="430" t="s">
        <v>256</v>
      </c>
      <c r="E18" s="162"/>
      <c r="F18" s="255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s="288" customFormat="1" ht="15.75" customHeight="1" x14ac:dyDescent="0.25">
      <c r="A19" s="171"/>
      <c r="B19" s="300"/>
      <c r="C19" s="164" t="s">
        <v>48</v>
      </c>
      <c r="D19" s="365"/>
      <c r="E19" s="162"/>
      <c r="F19" s="262">
        <f>SUM(F20:F21)</f>
        <v>-925600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21" s="288" customFormat="1" ht="15.75" customHeight="1" x14ac:dyDescent="0.25">
      <c r="A20" s="171"/>
      <c r="B20" s="300"/>
      <c r="C20" s="164"/>
      <c r="D20" s="365" t="s">
        <v>323</v>
      </c>
      <c r="E20" s="162"/>
      <c r="F20" s="262">
        <v>162600</v>
      </c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1" s="288" customFormat="1" ht="15.75" customHeight="1" x14ac:dyDescent="0.25">
      <c r="A21" s="171"/>
      <c r="B21" s="300"/>
      <c r="C21" s="164"/>
      <c r="D21" s="365" t="s">
        <v>295</v>
      </c>
      <c r="E21" s="162"/>
      <c r="F21" s="255">
        <f>-1079900-8300</f>
        <v>-1088200</v>
      </c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1" s="288" customFormat="1" ht="15.75" customHeight="1" x14ac:dyDescent="0.25">
      <c r="A22" s="182"/>
      <c r="B22" s="303"/>
      <c r="C22" s="304"/>
      <c r="D22" s="183"/>
      <c r="E22" s="185"/>
      <c r="F22" s="377"/>
      <c r="K22" s="289"/>
    </row>
    <row r="23" spans="1:21" s="288" customFormat="1" ht="15.75" customHeight="1" x14ac:dyDescent="0.25">
      <c r="A23" s="178"/>
      <c r="B23" s="179"/>
      <c r="C23" s="179"/>
      <c r="D23" s="180"/>
      <c r="E23" s="181"/>
      <c r="F23" s="378"/>
      <c r="K23" s="289"/>
    </row>
    <row r="24" spans="1:21" s="288" customFormat="1" ht="15.75" customHeight="1" x14ac:dyDescent="0.25">
      <c r="A24" s="171"/>
      <c r="B24" s="170" t="s">
        <v>321</v>
      </c>
      <c r="C24" s="170"/>
      <c r="D24" s="170"/>
      <c r="E24" s="172"/>
      <c r="F24" s="379">
        <f>+F12+F19+F9</f>
        <v>3684400</v>
      </c>
      <c r="K24" s="289"/>
    </row>
    <row r="25" spans="1:21" ht="15.75" customHeight="1" x14ac:dyDescent="0.25">
      <c r="A25" s="171"/>
      <c r="B25" s="170"/>
      <c r="C25" s="251" t="s">
        <v>177</v>
      </c>
      <c r="D25" s="170"/>
      <c r="E25" s="172"/>
      <c r="F25" s="380">
        <f>+F24/$G$1</f>
        <v>5.0238758184728748E-2</v>
      </c>
    </row>
    <row r="26" spans="1:21" ht="15.75" customHeight="1" x14ac:dyDescent="0.25">
      <c r="A26" s="182"/>
      <c r="B26" s="183"/>
      <c r="C26" s="183"/>
      <c r="D26" s="183"/>
      <c r="E26" s="185"/>
      <c r="F26" s="381"/>
    </row>
    <row r="27" spans="1:21" s="300" customFormat="1" ht="15.75" customHeight="1" x14ac:dyDescent="0.25">
      <c r="A27" s="178"/>
      <c r="B27" s="186"/>
      <c r="C27" s="186"/>
      <c r="D27" s="186"/>
      <c r="E27" s="188"/>
      <c r="F27" s="382"/>
      <c r="G27" s="371"/>
      <c r="H27" s="371"/>
      <c r="I27" s="371"/>
      <c r="J27" s="371"/>
    </row>
    <row r="28" spans="1:21" ht="15.75" customHeight="1" x14ac:dyDescent="0.25">
      <c r="A28" s="171"/>
      <c r="B28" s="163" t="s">
        <v>100</v>
      </c>
      <c r="C28" s="300"/>
      <c r="D28" s="251"/>
      <c r="E28" s="162"/>
      <c r="F28" s="383"/>
    </row>
    <row r="29" spans="1:21" s="309" customFormat="1" ht="15.75" customHeight="1" x14ac:dyDescent="0.25">
      <c r="A29" s="160"/>
      <c r="B29" s="251"/>
      <c r="C29" s="365" t="s">
        <v>295</v>
      </c>
      <c r="D29" s="166"/>
      <c r="E29" s="162"/>
      <c r="F29" s="255">
        <v>1088200</v>
      </c>
      <c r="G29" s="288"/>
      <c r="H29" s="288"/>
      <c r="I29" s="288"/>
      <c r="J29" s="288"/>
    </row>
    <row r="30" spans="1:21" s="309" customFormat="1" ht="15.75" customHeight="1" x14ac:dyDescent="0.25">
      <c r="A30" s="160"/>
      <c r="B30" s="251"/>
      <c r="C30" s="365" t="s">
        <v>293</v>
      </c>
      <c r="D30" s="166"/>
      <c r="E30" s="162"/>
      <c r="F30" s="255">
        <v>300000</v>
      </c>
      <c r="G30" s="288"/>
      <c r="H30" s="288"/>
      <c r="I30" s="288"/>
      <c r="J30" s="288"/>
    </row>
    <row r="31" spans="1:21" s="309" customFormat="1" ht="15.75" customHeight="1" x14ac:dyDescent="0.25">
      <c r="A31" s="160"/>
      <c r="B31" s="251"/>
      <c r="C31" s="365" t="s">
        <v>269</v>
      </c>
      <c r="D31" s="166"/>
      <c r="E31" s="162"/>
      <c r="F31" s="255">
        <v>50000</v>
      </c>
      <c r="G31" s="288"/>
      <c r="H31" s="288"/>
      <c r="I31" s="288"/>
      <c r="J31" s="288"/>
    </row>
    <row r="32" spans="1:21" s="309" customFormat="1" ht="15.75" customHeight="1" x14ac:dyDescent="0.25">
      <c r="A32" s="160"/>
      <c r="B32" s="251"/>
      <c r="C32" s="365" t="s">
        <v>323</v>
      </c>
      <c r="D32" s="166"/>
      <c r="E32" s="162"/>
      <c r="F32" s="255">
        <v>-40700</v>
      </c>
      <c r="G32" s="288"/>
      <c r="H32" s="288"/>
      <c r="I32" s="288"/>
      <c r="J32" s="288"/>
    </row>
    <row r="33" spans="1:11" s="309" customFormat="1" ht="15.75" hidden="1" customHeight="1" x14ac:dyDescent="0.25">
      <c r="A33" s="160"/>
      <c r="B33" s="251"/>
      <c r="C33" s="430" t="s">
        <v>256</v>
      </c>
      <c r="D33" s="166"/>
      <c r="E33" s="162"/>
      <c r="F33" s="255"/>
      <c r="G33" s="288"/>
      <c r="H33" s="288"/>
      <c r="I33" s="288"/>
      <c r="J33" s="288"/>
    </row>
    <row r="34" spans="1:11" s="309" customFormat="1" ht="15.75" hidden="1" customHeight="1" x14ac:dyDescent="0.25">
      <c r="A34" s="160"/>
      <c r="B34" s="251"/>
      <c r="C34" s="430" t="s">
        <v>274</v>
      </c>
      <c r="D34" s="166"/>
      <c r="E34" s="162"/>
      <c r="F34" s="255"/>
      <c r="G34" s="288"/>
      <c r="H34" s="288"/>
      <c r="I34" s="288"/>
      <c r="J34" s="288"/>
    </row>
    <row r="35" spans="1:11" s="309" customFormat="1" ht="15.75" customHeight="1" x14ac:dyDescent="0.25">
      <c r="A35" s="160"/>
      <c r="B35" s="251"/>
      <c r="C35" s="365" t="s">
        <v>259</v>
      </c>
      <c r="D35" s="166"/>
      <c r="E35" s="162"/>
      <c r="F35" s="255">
        <v>-92100</v>
      </c>
      <c r="G35" s="288"/>
      <c r="H35" s="288"/>
      <c r="I35" s="288"/>
      <c r="J35" s="288"/>
    </row>
    <row r="36" spans="1:11" s="320" customFormat="1" ht="15.75" customHeight="1" x14ac:dyDescent="0.25">
      <c r="A36" s="310"/>
      <c r="B36" s="311"/>
      <c r="C36" s="312"/>
      <c r="D36" s="313"/>
      <c r="E36" s="314"/>
      <c r="F36" s="384"/>
    </row>
    <row r="37" spans="1:11" s="320" customFormat="1" ht="15.75" customHeight="1" x14ac:dyDescent="0.25">
      <c r="A37" s="321"/>
      <c r="B37" s="322"/>
      <c r="C37" s="323"/>
      <c r="D37" s="324"/>
      <c r="E37" s="339"/>
      <c r="F37" s="248"/>
      <c r="K37" s="332"/>
    </row>
    <row r="38" spans="1:11" s="320" customFormat="1" ht="15.75" customHeight="1" x14ac:dyDescent="0.25">
      <c r="A38" s="321"/>
      <c r="B38" s="333" t="s">
        <v>211</v>
      </c>
      <c r="C38" s="333"/>
      <c r="D38" s="333"/>
      <c r="E38" s="334"/>
      <c r="F38" s="385">
        <f>SUM(F29:F35)</f>
        <v>1305400</v>
      </c>
      <c r="K38" s="332"/>
    </row>
    <row r="39" spans="1:11" s="320" customFormat="1" ht="15.75" customHeight="1" x14ac:dyDescent="0.25">
      <c r="A39" s="321"/>
      <c r="B39" s="333"/>
      <c r="C39" s="322" t="s">
        <v>177</v>
      </c>
      <c r="D39" s="333"/>
      <c r="E39" s="334"/>
      <c r="F39" s="380">
        <f>+F38/G1</f>
        <v>1.7799824919754889E-2</v>
      </c>
      <c r="K39" s="332"/>
    </row>
    <row r="40" spans="1:11" s="320" customFormat="1" ht="15.75" customHeight="1" x14ac:dyDescent="0.25">
      <c r="A40" s="335"/>
      <c r="B40" s="311"/>
      <c r="C40" s="311"/>
      <c r="D40" s="311"/>
      <c r="E40" s="314"/>
      <c r="F40" s="386"/>
      <c r="K40" s="332"/>
    </row>
    <row r="41" spans="1:11" s="320" customFormat="1" ht="15.75" customHeight="1" x14ac:dyDescent="0.25">
      <c r="A41" s="387"/>
      <c r="B41" s="338"/>
      <c r="C41" s="338"/>
      <c r="D41" s="338"/>
      <c r="E41" s="338"/>
      <c r="F41" s="388"/>
      <c r="K41" s="332"/>
    </row>
    <row r="42" spans="1:11" s="341" customFormat="1" ht="15.75" customHeight="1" x14ac:dyDescent="0.3">
      <c r="A42" s="273" t="s">
        <v>320</v>
      </c>
      <c r="B42" s="189"/>
      <c r="C42" s="189"/>
      <c r="D42" s="189"/>
      <c r="E42" s="189"/>
      <c r="F42" s="274">
        <f>+F24+F38</f>
        <v>4989800</v>
      </c>
      <c r="G42" s="299"/>
      <c r="H42" s="299"/>
      <c r="I42" s="299"/>
      <c r="J42" s="299"/>
    </row>
    <row r="43" spans="1:11" s="341" customFormat="1" ht="15.75" customHeight="1" x14ac:dyDescent="0.25">
      <c r="A43" s="273"/>
      <c r="B43" s="189"/>
      <c r="C43" s="216" t="s">
        <v>177</v>
      </c>
      <c r="D43" s="217"/>
      <c r="E43" s="217"/>
      <c r="F43" s="389">
        <f>+F42/G1</f>
        <v>6.803858310448363E-2</v>
      </c>
      <c r="G43" s="299"/>
      <c r="H43" s="299"/>
      <c r="I43" s="299"/>
      <c r="J43" s="299"/>
    </row>
    <row r="44" spans="1:11" s="346" customFormat="1" ht="15.75" customHeight="1" x14ac:dyDescent="0.25">
      <c r="A44" s="343"/>
      <c r="B44" s="344"/>
      <c r="C44" s="344"/>
      <c r="D44" s="344"/>
      <c r="E44" s="344"/>
      <c r="F44" s="345"/>
      <c r="G44" s="288"/>
      <c r="H44" s="288"/>
      <c r="I44" s="288"/>
      <c r="J44" s="288"/>
    </row>
    <row r="45" spans="1:11" s="346" customFormat="1" ht="15.75" customHeight="1" x14ac:dyDescent="0.25">
      <c r="A45" s="347"/>
      <c r="B45" s="347"/>
      <c r="C45" s="347"/>
      <c r="D45" s="347"/>
      <c r="E45" s="347"/>
      <c r="G45" s="288"/>
      <c r="H45" s="288"/>
      <c r="I45" s="288"/>
      <c r="J45" s="288"/>
    </row>
    <row r="46" spans="1:11" s="346" customFormat="1" ht="18" customHeight="1" x14ac:dyDescent="0.3">
      <c r="A46" s="459"/>
      <c r="B46" s="459"/>
      <c r="C46" s="459"/>
      <c r="D46" s="459"/>
      <c r="E46" s="459"/>
      <c r="F46" s="370"/>
      <c r="G46" s="288"/>
      <c r="H46" s="288"/>
      <c r="I46" s="288"/>
      <c r="J46" s="288"/>
    </row>
    <row r="47" spans="1:11" s="346" customFormat="1" ht="18" customHeight="1" x14ac:dyDescent="0.25">
      <c r="A47" s="461"/>
      <c r="B47" s="461"/>
      <c r="C47" s="461"/>
      <c r="D47" s="461"/>
      <c r="E47" s="461"/>
      <c r="F47" s="349"/>
      <c r="G47" s="288"/>
      <c r="H47" s="288"/>
      <c r="I47" s="288"/>
      <c r="J47" s="288"/>
    </row>
    <row r="48" spans="1:11" s="346" customFormat="1" ht="18" customHeight="1" x14ac:dyDescent="0.25">
      <c r="A48" s="461"/>
      <c r="B48" s="461"/>
      <c r="C48" s="461"/>
      <c r="D48" s="461"/>
      <c r="E48" s="461"/>
      <c r="F48" s="349"/>
      <c r="G48" s="288"/>
      <c r="H48" s="288"/>
      <c r="I48" s="288"/>
      <c r="J48" s="288"/>
    </row>
    <row r="49" spans="1:6" ht="18" customHeight="1" x14ac:dyDescent="0.25">
      <c r="A49" s="462"/>
      <c r="B49" s="461"/>
      <c r="C49" s="461"/>
      <c r="D49" s="461"/>
      <c r="E49" s="461"/>
      <c r="F49" s="350"/>
    </row>
    <row r="50" spans="1:6" ht="18" customHeight="1" x14ac:dyDescent="0.25">
      <c r="A50" s="461"/>
      <c r="B50" s="461"/>
      <c r="C50" s="461"/>
      <c r="D50" s="461"/>
      <c r="E50" s="461"/>
      <c r="F50" s="350"/>
    </row>
  </sheetData>
  <sortState xmlns:xlrd2="http://schemas.microsoft.com/office/spreadsheetml/2017/richdata2" ref="C29:F35">
    <sortCondition descending="1" ref="F29:F35"/>
  </sortState>
  <mergeCells count="9">
    <mergeCell ref="A50:E50"/>
    <mergeCell ref="A3:E3"/>
    <mergeCell ref="A4:E4"/>
    <mergeCell ref="A5:E6"/>
    <mergeCell ref="F5:F6"/>
    <mergeCell ref="A46:E46"/>
    <mergeCell ref="A47:E47"/>
    <mergeCell ref="A48:E48"/>
    <mergeCell ref="A49:E49"/>
  </mergeCells>
  <printOptions horizontalCentered="1"/>
  <pageMargins left="0.5" right="0.5" top="0.7" bottom="0.5" header="0.5" footer="0.25"/>
  <pageSetup orientation="portrait" r:id="rId1"/>
  <headerFooter alignWithMargins="0">
    <oddFooter>&amp;L&amp;"Arial Narrow,Regular"BLS&amp;C&amp;"Arial Narrow,Regular"Utah System of Higher Education&amp;R&amp;"Arial Narrow,Regular"Page &amp;P</oddFooter>
  </headerFooter>
  <rowBreaks count="1" manualBreakCount="1"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41</vt:i4>
      </vt:variant>
    </vt:vector>
  </HeadingPairs>
  <TitlesOfParts>
    <vt:vector size="63" baseType="lpstr">
      <vt:lpstr>USHE</vt:lpstr>
      <vt:lpstr>USHE-Governor-HEAS</vt:lpstr>
      <vt:lpstr>USHE-GOV</vt:lpstr>
      <vt:lpstr>Summary</vt:lpstr>
      <vt:lpstr>Historical</vt:lpstr>
      <vt:lpstr>UU</vt:lpstr>
      <vt:lpstr>USU</vt:lpstr>
      <vt:lpstr>WSU</vt:lpstr>
      <vt:lpstr>SUU</vt:lpstr>
      <vt:lpstr>SC</vt:lpstr>
      <vt:lpstr>UT</vt:lpstr>
      <vt:lpstr>UVU</vt:lpstr>
      <vt:lpstr>SLCC</vt:lpstr>
      <vt:lpstr>BTC</vt:lpstr>
      <vt:lpstr>DTC</vt:lpstr>
      <vt:lpstr>DXTC</vt:lpstr>
      <vt:lpstr>MTC</vt:lpstr>
      <vt:lpstr>OWTC</vt:lpstr>
      <vt:lpstr>SWTC</vt:lpstr>
      <vt:lpstr>TTC</vt:lpstr>
      <vt:lpstr>UBTC</vt:lpstr>
      <vt:lpstr>UBHE</vt:lpstr>
      <vt:lpstr>BTC!Print_Area</vt:lpstr>
      <vt:lpstr>DTC!Print_Area</vt:lpstr>
      <vt:lpstr>DXTC!Print_Area</vt:lpstr>
      <vt:lpstr>Historical!Print_Area</vt:lpstr>
      <vt:lpstr>MTC!Print_Area</vt:lpstr>
      <vt:lpstr>OWTC!Print_Area</vt:lpstr>
      <vt:lpstr>SC!Print_Area</vt:lpstr>
      <vt:lpstr>SLCC!Print_Area</vt:lpstr>
      <vt:lpstr>Summary!Print_Area</vt:lpstr>
      <vt:lpstr>SUU!Print_Area</vt:lpstr>
      <vt:lpstr>SWTC!Print_Area</vt:lpstr>
      <vt:lpstr>TTC!Print_Area</vt:lpstr>
      <vt:lpstr>UBHE!Print_Area</vt:lpstr>
      <vt:lpstr>UBTC!Print_Area</vt:lpstr>
      <vt:lpstr>USHE!Print_Area</vt:lpstr>
      <vt:lpstr>'USHE-GOV'!Print_Area</vt:lpstr>
      <vt:lpstr>'USHE-Governor-HEAS'!Print_Area</vt:lpstr>
      <vt:lpstr>USU!Print_Area</vt:lpstr>
      <vt:lpstr>UT!Print_Area</vt:lpstr>
      <vt:lpstr>UU!Print_Area</vt:lpstr>
      <vt:lpstr>UVU!Print_Area</vt:lpstr>
      <vt:lpstr>WSU!Print_Area</vt:lpstr>
      <vt:lpstr>BTC!Print_Titles</vt:lpstr>
      <vt:lpstr>DTC!Print_Titles</vt:lpstr>
      <vt:lpstr>DXTC!Print_Titles</vt:lpstr>
      <vt:lpstr>MTC!Print_Titles</vt:lpstr>
      <vt:lpstr>OWTC!Print_Titles</vt:lpstr>
      <vt:lpstr>SC!Print_Titles</vt:lpstr>
      <vt:lpstr>SLCC!Print_Titles</vt:lpstr>
      <vt:lpstr>SUU!Print_Titles</vt:lpstr>
      <vt:lpstr>SWTC!Print_Titles</vt:lpstr>
      <vt:lpstr>TTC!Print_Titles</vt:lpstr>
      <vt:lpstr>UBHE!Print_Titles</vt:lpstr>
      <vt:lpstr>UBTC!Print_Titles</vt:lpstr>
      <vt:lpstr>'USHE-GOV'!Print_Titles</vt:lpstr>
      <vt:lpstr>'USHE-Governor-HEAS'!Print_Titles</vt:lpstr>
      <vt:lpstr>USU!Print_Titles</vt:lpstr>
      <vt:lpstr>UT!Print_Titles</vt:lpstr>
      <vt:lpstr>UU!Print_Titles</vt:lpstr>
      <vt:lpstr>UVU!Print_Titles</vt:lpstr>
      <vt:lpstr>WSU!Print_Titles</vt:lpstr>
    </vt:vector>
  </TitlesOfParts>
  <Company>Utah System for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Morris</dc:creator>
  <cp:lastModifiedBy>Scott E Brown</cp:lastModifiedBy>
  <cp:lastPrinted>2024-12-20T19:47:36Z</cp:lastPrinted>
  <dcterms:created xsi:type="dcterms:W3CDTF">2010-03-15T22:20:05Z</dcterms:created>
  <dcterms:modified xsi:type="dcterms:W3CDTF">2025-01-02T21:17:51Z</dcterms:modified>
</cp:coreProperties>
</file>